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4\"/>
    </mc:Choice>
  </mc:AlternateContent>
  <xr:revisionPtr revIDLastSave="0" documentId="13_ncr:1_{215CC190-45FD-4817-8CE8-753F7C209241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Schweiz" sheetId="1" r:id="rId1"/>
    <sheet name="Graubünden" sheetId="3" r:id="rId2"/>
    <sheet name="Uebersetzung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A43" i="3"/>
  <c r="A32" i="3"/>
  <c r="A27" i="3"/>
  <c r="A22" i="3"/>
  <c r="A18" i="3"/>
  <c r="A15" i="3"/>
  <c r="A16" i="3"/>
  <c r="A53" i="3" l="1"/>
  <c r="A52" i="3"/>
  <c r="A50" i="3"/>
  <c r="A49" i="3"/>
  <c r="A48" i="3"/>
  <c r="A47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Y13" i="3"/>
  <c r="W13" i="3"/>
  <c r="U13" i="3"/>
  <c r="S13" i="3"/>
  <c r="Q13" i="3"/>
  <c r="O13" i="3"/>
  <c r="M13" i="3"/>
  <c r="K13" i="3"/>
  <c r="I13" i="3"/>
  <c r="G13" i="3"/>
  <c r="E13" i="3"/>
  <c r="C13" i="3"/>
  <c r="A10" i="3"/>
  <c r="A7" i="3"/>
  <c r="Y13" i="1" l="1"/>
  <c r="W13" i="1"/>
  <c r="U13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A49" i="1"/>
  <c r="I14" i="1"/>
  <c r="E14" i="1"/>
  <c r="C14" i="1"/>
  <c r="B17" i="1" l="1"/>
  <c r="B16" i="1"/>
  <c r="A16" i="1"/>
  <c r="A43" i="1"/>
  <c r="A15" i="1"/>
  <c r="A48" i="1"/>
  <c r="A44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D14" i="1"/>
  <c r="C13" i="1"/>
  <c r="A10" i="1"/>
  <c r="A9" i="1"/>
  <c r="A7" i="1"/>
  <c r="A45" i="1" l="1"/>
  <c r="A46" i="1"/>
</calcChain>
</file>

<file path=xl/sharedStrings.xml><?xml version="1.0" encoding="utf-8"?>
<sst xmlns="http://schemas.openxmlformats.org/spreadsheetml/2006/main" count="589" uniqueCount="344">
  <si>
    <t>Anzahl Personen</t>
  </si>
  <si>
    <t>Vertrauens- intervall:        ± (in %)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</si>
  <si>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</si>
  <si>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</si>
  <si>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</si>
  <si>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</si>
  <si>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</si>
  <si>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</si>
  <si>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</si>
  <si>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</si>
  <si>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</si>
  <si>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</si>
  <si>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</si>
  <si>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</si>
  <si>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</si>
  <si>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</si>
  <si>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</si>
  <si>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</t>
  </si>
  <si>
    <t>Totale</t>
  </si>
  <si>
    <t>&lt;SpaltenTitel_2&gt;</t>
  </si>
  <si>
    <t>Erwerbspersonen</t>
  </si>
  <si>
    <t>Persunas cun gudogn</t>
  </si>
  <si>
    <t>&lt;SpaltenTitel_3&gt;</t>
  </si>
  <si>
    <t>Erwerbstätige</t>
  </si>
  <si>
    <t>Persunas cun activitad da gudogn</t>
  </si>
  <si>
    <t>&lt;SpaltenTitel_4&gt;</t>
  </si>
  <si>
    <t>Vollzeiterwerbstätige (90-100%)</t>
  </si>
  <si>
    <t>Persunas cun activitad da gudogn a temp cumplain (90-100%)</t>
  </si>
  <si>
    <t>&lt;SpaltenTitel_5&gt;</t>
  </si>
  <si>
    <t>Teilzeiterwerbstätige I (70-89%)</t>
  </si>
  <si>
    <t>Persunas cun activitad da gudogn a temp parzial I (70-89%)</t>
  </si>
  <si>
    <t>&lt;SpaltenTitel_6&gt;</t>
  </si>
  <si>
    <t>Teilzeiterwerbstätige II (50-69%)</t>
  </si>
  <si>
    <t>Persunas cun activitad da gudogn a temp parzial II (50-69%)</t>
  </si>
  <si>
    <t>&lt;SpaltenTitel_7&gt;</t>
  </si>
  <si>
    <t>Teilzeiterwerbstätige III (weniger als 50%)</t>
  </si>
  <si>
    <t>Persunas cun activitad da gudogn a temp parzial III (main che 50%)</t>
  </si>
  <si>
    <t>&lt;SpaltenTitel_8&gt;</t>
  </si>
  <si>
    <t>Erwerbslose</t>
  </si>
  <si>
    <t>Persunas senza activitad da gudogn</t>
  </si>
  <si>
    <t>&lt;SpaltenTitel_9&gt;</t>
  </si>
  <si>
    <t>Nichterwerbspersonen in Ausbildung</t>
  </si>
  <si>
    <t>Persunas senza activitad da gudogn en scolaziun</t>
  </si>
  <si>
    <t>&lt;SpaltenTitel_10&gt;</t>
  </si>
  <si>
    <t>Hausfrauen/Hausmänner</t>
  </si>
  <si>
    <t>Chasarinas/chasarin</t>
  </si>
  <si>
    <t>&lt;SpaltenTitel_11&gt;</t>
  </si>
  <si>
    <t>Rentner/innen (AHV, IV)</t>
  </si>
  <si>
    <t>Pensiunads (AVS, AI)</t>
  </si>
  <si>
    <t>&lt;SpaltenTitel_12&gt;</t>
  </si>
  <si>
    <t>Andere Nichterwerbspersonen</t>
  </si>
  <si>
    <t>Autras persunas senza lavur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</si>
  <si>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</si>
  <si>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</si>
  <si>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</si>
  <si>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</si>
  <si>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</si>
  <si>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</si>
  <si>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</si>
  <si>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&lt;Zeilentitel_1&gt;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</si>
  <si>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</si>
  <si>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</si>
  <si>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</si>
  <si>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</si>
  <si>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</si>
  <si>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</si>
  <si>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</si>
  <si>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</si>
  <si>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</si>
  <si>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</si>
  <si>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</si>
  <si>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</si>
  <si>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</si>
  <si>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</si>
  <si>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</si>
  <si>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</si>
  <si>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</si>
  <si>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</si>
  <si>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</si>
  <si>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</si>
  <si>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</si>
  <si>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</si>
  <si>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</si>
  <si>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</si>
  <si>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</si>
  <si>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</si>
  <si>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</si>
  <si>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</si>
  <si>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</si>
  <si>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</si>
  <si>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</si>
  <si>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</si>
  <si>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</si>
  <si>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</si>
  <si>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</si>
  <si>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</si>
  <si>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</si>
  <si>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</si>
  <si>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</si>
  <si>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</si>
  <si>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</si>
  <si>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</si>
  <si>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</si>
  <si>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</si>
  <si>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</si>
  <si>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</si>
  <si>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</si>
  <si>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</si>
  <si>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</si>
  <si>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</si>
  <si>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</si>
  <si>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</si>
  <si>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</si>
  <si>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</si>
  <si>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</si>
  <si>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</si>
  <si>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</si>
  <si>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</si>
  <si>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</si>
  <si>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</si>
  <si>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</si>
  <si>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</si>
  <si>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</si>
  <si>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</si>
  <si>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</si>
  <si>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</si>
  <si>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</si>
  <si>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</si>
  <si>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</si>
  <si>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</si>
  <si>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</si>
  <si>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</si>
  <si>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</si>
  <si>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</si>
  <si>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</si>
  <si>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</si>
  <si>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</si>
  <si>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</si>
  <si>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</si>
  <si>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</si>
  <si>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</si>
  <si>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</si>
  <si>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</si>
  <si>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</si>
  <si>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</si>
  <si>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</si>
  <si>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</si>
  <si>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</si>
  <si>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</si>
  <si>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</si>
  <si>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</si>
  <si>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</si>
  <si>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</si>
  <si>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</si>
  <si>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</si>
  <si>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</si>
  <si>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</si>
  <si>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</si>
  <si>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</si>
  <si>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</si>
  <si>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</si>
  <si>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</si>
  <si>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</si>
  <si>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</si>
  <si>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</si>
  <si>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</si>
  <si>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</si>
  <si>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</si>
  <si>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</si>
  <si>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</si>
  <si>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</si>
  <si>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</si>
  <si>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&lt;Legende_5&gt;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</si>
  <si>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</si>
  <si>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</si>
  <si>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</si>
  <si>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</si>
  <si>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</si>
  <si>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Arbeitsmarktstatus nach Kanton</t>
  </si>
  <si>
    <t>Geschlecht</t>
  </si>
  <si>
    <t>Männer</t>
  </si>
  <si>
    <t>Frauen</t>
  </si>
  <si>
    <t>Alter</t>
  </si>
  <si>
    <t>15-24</t>
  </si>
  <si>
    <t>25-44</t>
  </si>
  <si>
    <t>45-64</t>
  </si>
  <si>
    <t>65 und mehr</t>
  </si>
  <si>
    <t>Staatsangehörigkeit</t>
  </si>
  <si>
    <t>Schweiz</t>
  </si>
  <si>
    <t>Staatsangehörigkeit unbekannt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</si>
  <si>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</si>
  <si>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</si>
  <si>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</si>
  <si>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</si>
  <si>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</si>
  <si>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</si>
  <si>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</si>
  <si>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</si>
  <si>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</si>
  <si>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</si>
  <si>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</si>
  <si>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</si>
  <si>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</si>
  <si>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</si>
  <si>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</si>
  <si>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</si>
  <si>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Höchste abgeschlossene Ausbildung</t>
  </si>
  <si>
    <t>Sekundarstufe II</t>
  </si>
  <si>
    <t>Tertiärstufe</t>
  </si>
  <si>
    <t>Status dal martgà da lavur tenor il chantun</t>
  </si>
  <si>
    <t>T2</t>
  </si>
  <si>
    <t>&lt;T2Zeilentitel_1&gt;</t>
  </si>
  <si>
    <t>&lt;T2Zeilentitel_2&gt;</t>
  </si>
  <si>
    <t>Gender</t>
  </si>
  <si>
    <t>Sesso</t>
  </si>
  <si>
    <t>&lt;T2Zeilentitel_3&gt;</t>
  </si>
  <si>
    <t>Vegliadetgna</t>
  </si>
  <si>
    <t>Età</t>
  </si>
  <si>
    <t>&lt;T2Zeilentitel_4&gt;</t>
  </si>
  <si>
    <t>Naziunalitad</t>
  </si>
  <si>
    <t>Cittadinanza</t>
  </si>
  <si>
    <t>&lt;T2Zeilentitel_5&gt;</t>
  </si>
  <si>
    <t>Status da migraziun</t>
  </si>
  <si>
    <t>Passato migratorio</t>
  </si>
  <si>
    <t>&lt;T2Zeilentitel_6&gt;</t>
  </si>
  <si>
    <t>Categorias socioprofessiunalas</t>
  </si>
  <si>
    <t>Categorie socio-professionali</t>
  </si>
  <si>
    <t>&lt;T2Zeilentitel_7&gt;</t>
  </si>
  <si>
    <t>La pli auta scolaziun terminada</t>
  </si>
  <si>
    <t>Formazione più elevata conclusa</t>
  </si>
  <si>
    <t>&lt;T2Zeilentitel_2.1&gt;</t>
  </si>
  <si>
    <t>Umens</t>
  </si>
  <si>
    <t>Uomini</t>
  </si>
  <si>
    <t>&lt;T2Zeilentitel_2.2&gt;</t>
  </si>
  <si>
    <t>Dunnas</t>
  </si>
  <si>
    <t>Donne</t>
  </si>
  <si>
    <t>&lt;T2Zeilentitel_3.1&gt;</t>
  </si>
  <si>
    <t>&lt;T2Zeilentitel_3.2&gt;</t>
  </si>
  <si>
    <t>&lt;T2Zeilentitel_3.3&gt;</t>
  </si>
  <si>
    <t>&lt;T2Zeilentitel_3.4&gt;</t>
  </si>
  <si>
    <t>65 e dapli</t>
  </si>
  <si>
    <t>65 e più</t>
  </si>
  <si>
    <t>&lt;T2Zeilentitel_4.1&gt;</t>
  </si>
  <si>
    <t>Svizra</t>
  </si>
  <si>
    <t>Svizzera</t>
  </si>
  <si>
    <t>&lt;T2Zeilentitel_4.2&gt;</t>
  </si>
  <si>
    <t>UE e AELS</t>
  </si>
  <si>
    <t>&lt;T2Zeilentitel_4.3&gt;</t>
  </si>
  <si>
    <t>Andere europäische Staaten</t>
  </si>
  <si>
    <t>Auters stadis europeics</t>
  </si>
  <si>
    <t>Altro paese europeo</t>
  </si>
  <si>
    <t>&lt;T2Zeilentitel_4.4&gt;</t>
  </si>
  <si>
    <t>Andere Staaten</t>
  </si>
  <si>
    <t>Auters stadis</t>
  </si>
  <si>
    <t>Paese extraeuropeo</t>
  </si>
  <si>
    <t>&lt;T2Zeilentitel_4.5&gt;</t>
  </si>
  <si>
    <t>Naziunalitad n'è betg enconuschenta</t>
  </si>
  <si>
    <t>Cittadinanza sconosciuta</t>
  </si>
  <si>
    <t>&lt;T2Zeilentitel_5.1&gt;</t>
  </si>
  <si>
    <t>Svizzers senza retroterra da migraziun</t>
  </si>
  <si>
    <t>Svizzeri/e senza un passato migratorio</t>
  </si>
  <si>
    <t>&lt;T2Zeilentitel_5.2&gt;</t>
  </si>
  <si>
    <t>Svizzers cun ina migraziun</t>
  </si>
  <si>
    <t>Svizzeri/e con un passato migratorio</t>
  </si>
  <si>
    <t>&lt;T2Zeilentitel_5.3&gt;</t>
  </si>
  <si>
    <t>Persunas estras da l'emprima generaziun</t>
  </si>
  <si>
    <t>Stranieri/e di prima generazione</t>
  </si>
  <si>
    <t>&lt;T2Zeilentitel_5.4&gt;</t>
  </si>
  <si>
    <t>Persunas estras da la segunda generaziun e da l'emprima</t>
  </si>
  <si>
    <t>Stranieri/e di seconda generazione e più</t>
  </si>
  <si>
    <t>&lt;T2Zeilentitel_5.5&gt;</t>
  </si>
  <si>
    <t>La migraziun n'è betg enconuschenta</t>
  </si>
  <si>
    <t>Passato migratorio sconosciuto</t>
  </si>
  <si>
    <t>&lt;T2Zeilentitel_6.1&gt;</t>
  </si>
  <si>
    <t>Management suprem</t>
  </si>
  <si>
    <t>Management superiore</t>
  </si>
  <si>
    <t>&lt;T2Zeilentitel_6.2&gt;</t>
  </si>
  <si>
    <t>Professiuns libras ed egualas</t>
  </si>
  <si>
    <t>Professioni liberali ed equiparate</t>
  </si>
  <si>
    <t>&lt;T2Zeilentitel_6.3&gt;</t>
  </si>
  <si>
    <t>Autras persunas independentas</t>
  </si>
  <si>
    <t>Altri indipendenti</t>
  </si>
  <si>
    <t>&lt;T2Zeilentitel_6.4&gt;</t>
  </si>
  <si>
    <t>Professiuns academicas e cader superiur</t>
  </si>
  <si>
    <t>Professioni accademiche e quadri superiori</t>
  </si>
  <si>
    <t>&lt;T2Zeilentitel_6.5&gt;</t>
  </si>
  <si>
    <t>Professiuns intermediaras</t>
  </si>
  <si>
    <t>Professioni intermediarie</t>
  </si>
  <si>
    <t>&lt;T2Zeilentitel_6.6&gt;</t>
  </si>
  <si>
    <t>Professiuns betg manualas qualifitgadas</t>
  </si>
  <si>
    <t>Professioni qualificate non manuali</t>
  </si>
  <si>
    <t>&lt;T2Zeilentitel_6.7&gt;</t>
  </si>
  <si>
    <t>Professiuns manualas qualifitgadas</t>
  </si>
  <si>
    <t>Professioni qualificate manuali</t>
  </si>
  <si>
    <t>&lt;T2Zeilentitel_6.8&gt;</t>
  </si>
  <si>
    <t>Ungelernte Angestellte und Arbeiter</t>
  </si>
  <si>
    <t>Emploiads e lavurants betg emprendids</t>
  </si>
  <si>
    <t>Impiegati e operai non qualificati</t>
  </si>
  <si>
    <t>&lt;T2Zeilentitel_6.9&gt;</t>
  </si>
  <si>
    <t>Emprendistas ed emprendists en ina furmaziun fundamentala professiunala dubla (emprendists)</t>
  </si>
  <si>
    <t>Persone in formazione professionale di base duale (apprendisti)</t>
  </si>
  <si>
    <t>&lt;T2Zeilentitel_6.10&gt;</t>
  </si>
  <si>
    <t>Nicht zuteilbare Erwerbstätige (fehlende oder unklare Basisdaten oder unplausible Kombination)</t>
  </si>
  <si>
    <t>Persunas cun activitad da gudogn che n'èn betg attribuiblas (datas da basa mancantas u betg cleras u ina cumbinaziun inclausibla)</t>
  </si>
  <si>
    <t>Occupati non attribuibili (dati di base mancanti)</t>
  </si>
  <si>
    <t>&lt;T2Zeilentitel_6.11&gt;</t>
  </si>
  <si>
    <t>Persunas senza activitad da gudogn e persunas senza activitad da gudogn</t>
  </si>
  <si>
    <t>Disoccupati e persone senza attività professionale</t>
  </si>
  <si>
    <t>&lt;T2Zeilentitel_7.1&gt;</t>
  </si>
  <si>
    <t>Obligatorische Schule</t>
  </si>
  <si>
    <t>Scola obligatorica</t>
  </si>
  <si>
    <t>Senza formazione postobbligatoria</t>
  </si>
  <si>
    <t>&lt;T2Zeilentitel_7.2&gt;</t>
  </si>
  <si>
    <t>Stgalim secundar II</t>
  </si>
  <si>
    <t>Livello secondario II</t>
  </si>
  <si>
    <t>&lt;T2Zeilentitel_7.3&gt;</t>
  </si>
  <si>
    <t>Stgalim terziar</t>
  </si>
  <si>
    <t>Livello terziario</t>
  </si>
  <si>
    <t>&lt;T2Titel&gt;</t>
  </si>
  <si>
    <t>&lt;T2Aktualisierung&gt;</t>
  </si>
  <si>
    <t>Persone attive</t>
  </si>
  <si>
    <t>Occupati</t>
  </si>
  <si>
    <t>Occupati a tempo pieno (90-100%)</t>
  </si>
  <si>
    <t>Occupati a tempo parziale I (70-89%)</t>
  </si>
  <si>
    <t>Occupati a tempo parziale II (50-69%)</t>
  </si>
  <si>
    <t>Occupati a tempo parziale III (meno di 50%)</t>
  </si>
  <si>
    <t>Disoccupati</t>
  </si>
  <si>
    <t>Persone senza attività professionale in formazione</t>
  </si>
  <si>
    <t>Casalinghi/e</t>
  </si>
  <si>
    <t>Pensionati/e</t>
  </si>
  <si>
    <t>Altre persone senza attività professionale</t>
  </si>
  <si>
    <t>EU und EFTA</t>
  </si>
  <si>
    <t>UE ed AECL</t>
  </si>
  <si>
    <t>Arbeitsmarktstatus im Kanton Graubünden</t>
  </si>
  <si>
    <t>Status dal martgà da lavur en il chantun Grischun</t>
  </si>
  <si>
    <t>Stato sul mercato del lavoro nel Cantone dei Grigioni</t>
  </si>
  <si>
    <t>Stato sul mercato del lavoro secondo il Cantone</t>
  </si>
  <si>
    <t>Letztmals aktualisiert am: 29.01.2026</t>
  </si>
  <si>
    <t>Ultima actualisaziun: 29.01.2026</t>
  </si>
  <si>
    <t>Ulimo aggiornamento: 29.01.2026</t>
  </si>
  <si>
    <t>X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</si>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</sst>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\(#\'##0\)"/>
    <numFmt numFmtId="171" formatCode="\(##0\)"/>
    <numFmt numFmtId="172" formatCode="* #,###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2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3" fontId="4" fillId="2" borderId="10" xfId="6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7" xfId="1" applyNumberFormat="1" applyFont="1" applyFill="1" applyBorder="1" applyAlignment="1" applyProtection="1">
      <alignment horizontal="right" vertical="top" wrapText="1"/>
    </xf>
    <xf numFmtId="0" fontId="11" fillId="2" borderId="8" xfId="2" applyNumberFormat="1" applyFont="1" applyFill="1" applyBorder="1" applyAlignment="1" applyProtection="1">
      <alignment horizontal="right" vertical="top" wrapText="1"/>
    </xf>
    <xf numFmtId="3" fontId="4" fillId="2" borderId="15" xfId="6" applyNumberFormat="1" applyFont="1" applyFill="1" applyBorder="1" applyAlignment="1" applyProtection="1">
      <alignment horizontal="right" vertical="center" wrapText="1"/>
    </xf>
    <xf numFmtId="0" fontId="11" fillId="0" borderId="13" xfId="1" applyNumberFormat="1" applyFont="1" applyFill="1" applyBorder="1" applyAlignment="1" applyProtection="1">
      <alignment horizontal="right" vertical="top" wrapText="1"/>
    </xf>
    <xf numFmtId="0" fontId="11" fillId="0" borderId="14" xfId="5" applyNumberFormat="1" applyFont="1" applyFill="1" applyBorder="1" applyAlignment="1" applyProtection="1">
      <alignment horizontal="right" vertical="top" wrapText="1"/>
    </xf>
    <xf numFmtId="3" fontId="4" fillId="2" borderId="12" xfId="6" applyNumberFormat="1" applyFont="1" applyFill="1" applyBorder="1" applyAlignment="1" applyProtection="1">
      <alignment horizontal="left" vertical="center" wrapText="1"/>
    </xf>
    <xf numFmtId="3" fontId="4" fillId="3" borderId="12" xfId="6" applyNumberFormat="1" applyFont="1" applyFill="1" applyBorder="1" applyAlignment="1" applyProtection="1">
      <alignment horizontal="left" vertical="center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0" borderId="0" xfId="0" applyFont="1" applyBorder="1"/>
    <xf numFmtId="3" fontId="4" fillId="2" borderId="16" xfId="6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3" fontId="4" fillId="2" borderId="6" xfId="6" applyNumberFormat="1" applyFont="1" applyFill="1" applyBorder="1" applyAlignment="1" applyProtection="1">
      <alignment horizontal="left" vertical="center" wrapText="1"/>
    </xf>
    <xf numFmtId="170" fontId="4" fillId="2" borderId="10" xfId="6" applyNumberFormat="1" applyFont="1" applyFill="1" applyBorder="1" applyAlignment="1" applyProtection="1">
      <alignment horizontal="right" vertical="center" wrapText="1"/>
    </xf>
    <xf numFmtId="171" fontId="4" fillId="2" borderId="10" xfId="6" applyNumberFormat="1" applyFont="1" applyFill="1" applyBorder="1" applyAlignment="1" applyProtection="1">
      <alignment horizontal="right" vertical="center" wrapText="1"/>
    </xf>
    <xf numFmtId="170" fontId="4" fillId="2" borderId="17" xfId="6" applyNumberFormat="1" applyFont="1" applyFill="1" applyBorder="1" applyAlignment="1" applyProtection="1">
      <alignment horizontal="right" vertical="center" wrapText="1"/>
    </xf>
    <xf numFmtId="0" fontId="10" fillId="0" borderId="21" xfId="0" applyFont="1" applyBorder="1" applyAlignment="1">
      <alignment vertical="center"/>
    </xf>
    <xf numFmtId="3" fontId="4" fillId="2" borderId="22" xfId="6" applyNumberFormat="1" applyFont="1" applyFill="1" applyBorder="1" applyAlignment="1" applyProtection="1">
      <alignment horizontal="left" vertical="center" wrapText="1"/>
    </xf>
    <xf numFmtId="3" fontId="4" fillId="2" borderId="23" xfId="6" applyNumberFormat="1" applyFont="1" applyFill="1" applyBorder="1" applyAlignment="1" applyProtection="1">
      <alignment horizontal="left" vertical="center" wrapText="1"/>
    </xf>
    <xf numFmtId="170" fontId="4" fillId="2" borderId="15" xfId="6" applyNumberFormat="1" applyFont="1" applyFill="1" applyBorder="1" applyAlignment="1" applyProtection="1">
      <alignment horizontal="right" vertical="center" wrapText="1"/>
    </xf>
    <xf numFmtId="3" fontId="14" fillId="2" borderId="10" xfId="6" applyNumberFormat="1" applyFont="1" applyFill="1" applyBorder="1" applyAlignment="1" applyProtection="1">
      <alignment horizontal="right" vertical="center" wrapText="1"/>
    </xf>
    <xf numFmtId="0" fontId="11" fillId="2" borderId="29" xfId="1" applyNumberFormat="1" applyFont="1" applyFill="1" applyBorder="1" applyAlignment="1" applyProtection="1">
      <alignment horizontal="right" vertical="top" wrapText="1"/>
    </xf>
    <xf numFmtId="0" fontId="11" fillId="2" borderId="14" xfId="2" applyNumberFormat="1" applyFont="1" applyFill="1" applyBorder="1" applyAlignment="1" applyProtection="1">
      <alignment horizontal="right" vertical="top" wrapText="1"/>
    </xf>
    <xf numFmtId="0" fontId="11" fillId="2" borderId="30" xfId="2" applyNumberFormat="1" applyFont="1" applyFill="1" applyBorder="1" applyAlignment="1" applyProtection="1">
      <alignment horizontal="right" vertical="top" wrapText="1"/>
    </xf>
    <xf numFmtId="0" fontId="11" fillId="0" borderId="31" xfId="5" applyNumberFormat="1" applyFont="1" applyFill="1" applyBorder="1" applyAlignment="1" applyProtection="1">
      <alignment horizontal="right" vertical="top" wrapText="1"/>
    </xf>
    <xf numFmtId="167" fontId="4" fillId="2" borderId="11" xfId="6" applyNumberFormat="1" applyFont="1" applyFill="1" applyBorder="1" applyAlignment="1" applyProtection="1">
      <alignment horizontal="right" vertical="center" wrapText="1"/>
    </xf>
    <xf numFmtId="3" fontId="4" fillId="3" borderId="10" xfId="6" applyNumberFormat="1" applyFont="1" applyFill="1" applyBorder="1" applyAlignment="1" applyProtection="1">
      <alignment horizontal="right" vertical="center" wrapText="1"/>
    </xf>
    <xf numFmtId="167" fontId="4" fillId="3" borderId="11" xfId="6" applyNumberFormat="1" applyFont="1" applyFill="1" applyBorder="1" applyAlignment="1" applyProtection="1">
      <alignment horizontal="right" vertical="center" wrapText="1"/>
    </xf>
    <xf numFmtId="3" fontId="4" fillId="2" borderId="17" xfId="6" applyNumberFormat="1" applyFont="1" applyFill="1" applyBorder="1" applyAlignment="1" applyProtection="1">
      <alignment horizontal="right" vertical="center" wrapText="1"/>
    </xf>
    <xf numFmtId="167" fontId="4" fillId="2" borderId="32" xfId="6" applyNumberFormat="1" applyFont="1" applyFill="1" applyBorder="1" applyAlignment="1" applyProtection="1">
      <alignment horizontal="right" vertical="center" wrapText="1"/>
    </xf>
    <xf numFmtId="167" fontId="4" fillId="2" borderId="19" xfId="6" applyNumberFormat="1" applyFont="1" applyFill="1" applyBorder="1" applyAlignment="1" applyProtection="1">
      <alignment horizontal="right" vertical="center" wrapText="1"/>
    </xf>
    <xf numFmtId="167" fontId="4" fillId="3" borderId="19" xfId="6" applyNumberFormat="1" applyFont="1" applyFill="1" applyBorder="1" applyAlignment="1" applyProtection="1">
      <alignment horizontal="right" vertical="center" wrapText="1"/>
    </xf>
    <xf numFmtId="167" fontId="4" fillId="2" borderId="33" xfId="6" applyNumberFormat="1" applyFont="1" applyFill="1" applyBorder="1" applyAlignment="1" applyProtection="1">
      <alignment horizontal="right" vertical="center" wrapText="1"/>
    </xf>
    <xf numFmtId="0" fontId="11" fillId="2" borderId="13" xfId="1" applyNumberFormat="1" applyFont="1" applyFill="1" applyBorder="1" applyAlignment="1" applyProtection="1">
      <alignment horizontal="right" vertical="top" wrapText="1"/>
    </xf>
    <xf numFmtId="168" fontId="4" fillId="2" borderId="11" xfId="6" applyNumberFormat="1" applyFont="1" applyFill="1" applyBorder="1" applyAlignment="1" applyProtection="1">
      <alignment horizontal="right" vertical="center" wrapText="1"/>
    </xf>
    <xf numFmtId="168" fontId="4" fillId="2" borderId="32" xfId="6" applyNumberFormat="1" applyFont="1" applyFill="1" applyBorder="1" applyAlignment="1" applyProtection="1">
      <alignment horizontal="right" vertical="center" wrapText="1"/>
    </xf>
    <xf numFmtId="167" fontId="4" fillId="2" borderId="18" xfId="6" applyNumberFormat="1" applyFont="1" applyFill="1" applyBorder="1" applyAlignment="1" applyProtection="1">
      <alignment horizontal="right" vertical="center" wrapText="1"/>
    </xf>
    <xf numFmtId="168" fontId="4" fillId="2" borderId="18" xfId="6" applyNumberFormat="1" applyFont="1" applyFill="1" applyBorder="1" applyAlignment="1" applyProtection="1">
      <alignment horizontal="right" vertical="center" wrapText="1"/>
    </xf>
    <xf numFmtId="167" fontId="4" fillId="3" borderId="18" xfId="6" applyNumberFormat="1" applyFont="1" applyFill="1" applyBorder="1" applyAlignment="1" applyProtection="1">
      <alignment horizontal="right" vertical="center" wrapText="1"/>
    </xf>
    <xf numFmtId="167" fontId="4" fillId="2" borderId="35" xfId="6" applyNumberFormat="1" applyFont="1" applyFill="1" applyBorder="1" applyAlignment="1" applyProtection="1">
      <alignment horizontal="right" vertical="center" wrapText="1"/>
    </xf>
    <xf numFmtId="172" fontId="12" fillId="2" borderId="13" xfId="6" applyNumberFormat="1" applyFont="1" applyFill="1" applyBorder="1" applyAlignment="1" applyProtection="1">
      <alignment horizontal="right" vertical="center" wrapText="1"/>
    </xf>
    <xf numFmtId="167" fontId="12" fillId="2" borderId="30" xfId="6" applyNumberFormat="1" applyFont="1" applyFill="1" applyBorder="1" applyAlignment="1" applyProtection="1">
      <alignment horizontal="right" vertical="center" wrapText="1"/>
    </xf>
    <xf numFmtId="167" fontId="12" fillId="2" borderId="14" xfId="6" applyNumberFormat="1" applyFont="1" applyFill="1" applyBorder="1" applyAlignment="1" applyProtection="1">
      <alignment horizontal="right" vertical="center" wrapText="1"/>
    </xf>
    <xf numFmtId="167" fontId="12" fillId="2" borderId="31" xfId="6" applyNumberFormat="1" applyFont="1" applyFill="1" applyBorder="1" applyAlignment="1" applyProtection="1">
      <alignment horizontal="right" vertical="center" wrapText="1"/>
    </xf>
    <xf numFmtId="0" fontId="10" fillId="0" borderId="36" xfId="0" applyFont="1" applyBorder="1" applyAlignment="1">
      <alignment vertical="center"/>
    </xf>
    <xf numFmtId="3" fontId="4" fillId="2" borderId="4" xfId="6" applyNumberFormat="1" applyFont="1" applyFill="1" applyBorder="1" applyAlignment="1" applyProtection="1">
      <alignment horizontal="left" vertical="center" wrapText="1"/>
    </xf>
    <xf numFmtId="3" fontId="4" fillId="2" borderId="37" xfId="6" applyNumberFormat="1" applyFont="1" applyFill="1" applyBorder="1" applyAlignment="1" applyProtection="1">
      <alignment horizontal="left" vertical="center" wrapText="1"/>
    </xf>
    <xf numFmtId="3" fontId="4" fillId="2" borderId="38" xfId="6" applyNumberFormat="1" applyFont="1" applyFill="1" applyBorder="1" applyAlignment="1" applyProtection="1">
      <alignment horizontal="left" vertical="center" wrapText="1"/>
    </xf>
    <xf numFmtId="3" fontId="4" fillId="2" borderId="39" xfId="6" applyNumberFormat="1" applyFont="1" applyFill="1" applyBorder="1" applyAlignment="1" applyProtection="1">
      <alignment horizontal="left" vertical="center" wrapText="1"/>
    </xf>
    <xf numFmtId="3" fontId="4" fillId="2" borderId="20" xfId="6" applyNumberFormat="1" applyFont="1" applyFill="1" applyBorder="1" applyAlignment="1" applyProtection="1">
      <alignment horizontal="right" vertical="center" wrapText="1"/>
    </xf>
    <xf numFmtId="170" fontId="4" fillId="2" borderId="20" xfId="6" applyNumberFormat="1" applyFont="1" applyFill="1" applyBorder="1" applyAlignment="1" applyProtection="1">
      <alignment horizontal="right" vertical="center" wrapText="1"/>
    </xf>
    <xf numFmtId="3" fontId="4" fillId="2" borderId="45" xfId="6" applyNumberFormat="1" applyFont="1" applyFill="1" applyBorder="1" applyAlignment="1" applyProtection="1">
      <alignment horizontal="right" vertical="center" wrapText="1"/>
    </xf>
    <xf numFmtId="0" fontId="11" fillId="2" borderId="9" xfId="1" applyNumberFormat="1" applyFont="1" applyFill="1" applyBorder="1" applyAlignment="1" applyProtection="1">
      <alignment horizontal="right" vertical="top" wrapText="1"/>
    </xf>
    <xf numFmtId="167" fontId="14" fillId="2" borderId="11" xfId="6" applyNumberFormat="1" applyFont="1" applyFill="1" applyBorder="1" applyAlignment="1" applyProtection="1">
      <alignment horizontal="right" vertical="center" wrapText="1"/>
    </xf>
    <xf numFmtId="171" fontId="4" fillId="2" borderId="17" xfId="6" applyNumberFormat="1" applyFont="1" applyFill="1" applyBorder="1" applyAlignment="1" applyProtection="1">
      <alignment horizontal="right" vertical="center" wrapText="1"/>
    </xf>
    <xf numFmtId="167" fontId="14" fillId="2" borderId="18" xfId="6" applyNumberFormat="1" applyFont="1" applyFill="1" applyBorder="1" applyAlignment="1" applyProtection="1">
      <alignment horizontal="right" vertical="center" wrapText="1"/>
    </xf>
    <xf numFmtId="168" fontId="4" fillId="2" borderId="35" xfId="6" applyNumberFormat="1" applyFont="1" applyFill="1" applyBorder="1" applyAlignment="1" applyProtection="1">
      <alignment horizontal="right" vertical="center" wrapText="1"/>
    </xf>
    <xf numFmtId="0" fontId="11" fillId="0" borderId="9" xfId="1" applyNumberFormat="1" applyFont="1" applyFill="1" applyBorder="1" applyAlignment="1" applyProtection="1">
      <alignment horizontal="right" vertical="top" wrapText="1"/>
    </xf>
    <xf numFmtId="0" fontId="11" fillId="0" borderId="8" xfId="5" applyNumberFormat="1" applyFont="1" applyFill="1" applyBorder="1" applyAlignment="1" applyProtection="1">
      <alignment horizontal="right" vertical="top" wrapText="1"/>
    </xf>
    <xf numFmtId="0" fontId="11" fillId="0" borderId="34" xfId="5" applyNumberFormat="1" applyFont="1" applyFill="1" applyBorder="1" applyAlignment="1" applyProtection="1">
      <alignment horizontal="right" vertical="top" wrapText="1"/>
    </xf>
    <xf numFmtId="3" fontId="4" fillId="2" borderId="9" xfId="6" applyNumberFormat="1" applyFont="1" applyFill="1" applyBorder="1" applyAlignment="1" applyProtection="1">
      <alignment horizontal="right" vertical="center" wrapText="1"/>
    </xf>
    <xf numFmtId="167" fontId="4" fillId="2" borderId="8" xfId="6" applyNumberFormat="1" applyFont="1" applyFill="1" applyBorder="1" applyAlignment="1" applyProtection="1">
      <alignment horizontal="right" vertical="center" wrapText="1"/>
    </xf>
    <xf numFmtId="171" fontId="4" fillId="2" borderId="9" xfId="6" applyNumberFormat="1" applyFont="1" applyFill="1" applyBorder="1" applyAlignment="1" applyProtection="1">
      <alignment horizontal="right" vertical="center" wrapText="1"/>
    </xf>
    <xf numFmtId="168" fontId="4" fillId="2" borderId="8" xfId="6" applyNumberFormat="1" applyFont="1" applyFill="1" applyBorder="1" applyAlignment="1" applyProtection="1">
      <alignment horizontal="right" vertical="center" wrapText="1"/>
    </xf>
    <xf numFmtId="170" fontId="4" fillId="2" borderId="9" xfId="6" applyNumberFormat="1" applyFont="1" applyFill="1" applyBorder="1" applyAlignment="1" applyProtection="1">
      <alignment horizontal="right" vertical="center" wrapText="1"/>
    </xf>
    <xf numFmtId="168" fontId="4" fillId="2" borderId="34" xfId="6" applyNumberFormat="1" applyFont="1" applyFill="1" applyBorder="1" applyAlignment="1" applyProtection="1">
      <alignment horizontal="right" vertical="center" wrapText="1"/>
    </xf>
    <xf numFmtId="167" fontId="4" fillId="2" borderId="46" xfId="6" applyNumberFormat="1" applyFont="1" applyFill="1" applyBorder="1" applyAlignment="1" applyProtection="1">
      <alignment horizontal="right" vertical="center" wrapText="1"/>
    </xf>
    <xf numFmtId="168" fontId="4" fillId="2" borderId="46" xfId="6" applyNumberFormat="1" applyFont="1" applyFill="1" applyBorder="1" applyAlignment="1" applyProtection="1">
      <alignment horizontal="right" vertical="center" wrapText="1"/>
    </xf>
    <xf numFmtId="171" fontId="4" fillId="2" borderId="15" xfId="6" applyNumberFormat="1" applyFont="1" applyFill="1" applyBorder="1" applyAlignment="1" applyProtection="1">
      <alignment horizontal="right" vertical="center" wrapText="1"/>
    </xf>
    <xf numFmtId="167" fontId="4" fillId="2" borderId="47" xfId="6" applyNumberFormat="1" applyFont="1" applyFill="1" applyBorder="1" applyAlignment="1" applyProtection="1">
      <alignment horizontal="right" vertical="center" wrapText="1"/>
    </xf>
    <xf numFmtId="167" fontId="4" fillId="2" borderId="34" xfId="6" applyNumberFormat="1" applyFont="1" applyFill="1" applyBorder="1" applyAlignment="1" applyProtection="1">
      <alignment horizontal="righ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1" fillId="0" borderId="6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</cellXfs>
  <cellStyles count="14">
    <cellStyle name="Komma" xfId="1" builtinId="3"/>
    <cellStyle name="Komma 2" xfId="4" xr:uid="{00000000-0005-0000-0000-000001000000}"/>
    <cellStyle name="Komma 3" xfId="6" xr:uid="{00000000-0005-0000-0000-000002000000}"/>
    <cellStyle name="Normale 2" xfId="13" xr:uid="{00000000-0005-0000-0000-000003000000}"/>
    <cellStyle name="Prozent" xfId="2" builtinId="5"/>
    <cellStyle name="Prozent 2" xfId="5" xr:uid="{00000000-0005-0000-0000-000005000000}"/>
    <cellStyle name="Standard" xfId="0" builtinId="0"/>
    <cellStyle name="Standard 2" xfId="3" xr:uid="{00000000-0005-0000-0000-000007000000}"/>
    <cellStyle name="Standard 2 2" xfId="10" xr:uid="{00000000-0005-0000-0000-000008000000}"/>
    <cellStyle name="Standard 2 3" xfId="7" xr:uid="{00000000-0005-0000-0000-000009000000}"/>
    <cellStyle name="Standard 3" xfId="8" xr:uid="{00000000-0005-0000-0000-00000A000000}"/>
    <cellStyle name="Standard 4" xfId="9" xr:uid="{00000000-0005-0000-0000-00000B000000}"/>
    <cellStyle name="Standard 4 2" xfId="11" xr:uid="{00000000-0005-0000-0000-00000C000000}"/>
    <cellStyle name="Standard 5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19050</xdr:rowOff>
    </xdr:from>
    <xdr:to>
      <xdr:col>6</xdr:col>
      <xdr:colOff>219689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006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663575</xdr:colOff>
      <xdr:row>5</xdr:row>
      <xdr:rowOff>4202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  <xdr:twoCellAnchor>
    <xdr:from>
      <xdr:col>3</xdr:col>
      <xdr:colOff>82550</xdr:colOff>
      <xdr:row>0</xdr:row>
      <xdr:rowOff>19050</xdr:rowOff>
    </xdr:from>
    <xdr:to>
      <xdr:col>6</xdr:col>
      <xdr:colOff>321289</xdr:colOff>
      <xdr:row>4</xdr:row>
      <xdr:rowOff>145523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879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1" name="Gruppieren 10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2052" name="Option Button 4" hidden="1">
                  <a:extLst>
                    <a:ext uri="{63B3BB69-23CF-44E3-9099-C40C66FF867C}">
                      <a14:compatExt spid="_x0000_s2052"/>
                    </a:ext>
                    <a:ext uri="{FF2B5EF4-FFF2-40B4-BE49-F238E27FC236}">
                      <a16:creationId xmlns:a16="http://schemas.microsoft.com/office/drawing/2014/main" id="{00000000-0008-0000-0100-0000040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053" name="Option Button 5" hidden="1">
                  <a:extLst>
                    <a:ext uri="{63B3BB69-23CF-44E3-9099-C40C66FF867C}">
                      <a14:compatExt spid="_x0000_s2053"/>
                    </a:ext>
                    <a:ext uri="{FF2B5EF4-FFF2-40B4-BE49-F238E27FC236}">
                      <a16:creationId xmlns:a16="http://schemas.microsoft.com/office/drawing/2014/main" id="{00000000-0008-0000-0100-0000050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054" name="Option Button 6" hidden="1">
                  <a:extLst>
                    <a:ext uri="{63B3BB69-23CF-44E3-9099-C40C66FF867C}">
                      <a14:compatExt spid="_x0000_s2054"/>
                    </a:ext>
                    <a:ext uri="{FF2B5EF4-FFF2-40B4-BE49-F238E27FC236}">
                      <a16:creationId xmlns:a16="http://schemas.microsoft.com/office/drawing/2014/main" id="{00000000-0008-0000-0100-0000060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26" width="12" style="1" customWidth="1"/>
    <col min="27" max="16384" width="11.42578125" style="1"/>
  </cols>
  <sheetData>
    <row r="1" spans="1:26" s="2" customFormat="1" x14ac:dyDescent="0.2"/>
    <row r="2" spans="1:26" s="2" customFormat="1" ht="15.75" x14ac:dyDescent="0.25">
      <c r="B2" s="3"/>
      <c r="C2" s="1"/>
      <c r="D2" s="1"/>
    </row>
    <row r="3" spans="1:26" s="2" customFormat="1" ht="15.75" x14ac:dyDescent="0.25">
      <c r="B3" s="3"/>
      <c r="C3" s="1"/>
      <c r="D3" s="1"/>
    </row>
    <row r="4" spans="1:26" s="2" customFormat="1" ht="15.75" x14ac:dyDescent="0.25">
      <c r="B4" s="3"/>
      <c r="C4" s="1"/>
      <c r="D4" s="1"/>
    </row>
    <row r="5" spans="1:26" s="2" customFormat="1" x14ac:dyDescent="0.2"/>
    <row r="6" spans="1:26" s="2" customFormat="1" x14ac:dyDescent="0.2"/>
    <row r="7" spans="1:26" s="2" customFormat="1" ht="15.75" customHeight="1" x14ac:dyDescent="0.2">
      <c r="A7" s="116" t="str">
        <f>VLOOKUP("&lt;Fachbereich&gt;",Uebersetzungen!$B$3:$E$200,Uebersetzungen!$B$2+1,FALSE)</f>
        <v>Daten &amp; Statistik</v>
      </c>
      <c r="B7" s="116"/>
      <c r="C7" s="4"/>
      <c r="D7" s="4"/>
      <c r="E7" s="4"/>
      <c r="F7" s="4"/>
      <c r="G7" s="4"/>
      <c r="H7" s="4"/>
    </row>
    <row r="8" spans="1:26" s="2" customFormat="1" x14ac:dyDescent="0.2"/>
    <row r="9" spans="1:26" s="8" customFormat="1" ht="18" x14ac:dyDescent="0.2">
      <c r="A9" s="19" t="str">
        <f>VLOOKUP("&lt;Titel&gt;",Uebersetzungen!$B$3:$E$200,Uebersetzungen!$B$2+1,FALSE)</f>
        <v>Arbeitsmarktstatus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6" s="8" customFormat="1" ht="15" x14ac:dyDescent="0.2">
      <c r="A10" s="20" t="str">
        <f>VLOOKUP("&lt;UTitel&gt;",Uebersetzungen!$B$3:$E$200,Uebersetzungen!$B$2+1,FALSE)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6" s="8" customFormat="1" ht="15.75" thickBot="1" x14ac:dyDescent="0.25">
      <c r="A11" s="20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6" ht="18" x14ac:dyDescent="0.25">
      <c r="C12" s="108">
        <v>2024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</row>
    <row r="13" spans="1:26" ht="39" customHeight="1" x14ac:dyDescent="0.2">
      <c r="A13" s="10"/>
      <c r="B13" s="16"/>
      <c r="C13" s="117" t="str">
        <f>VLOOKUP("&lt;SpaltenTitel_1&gt;",Uebersetzungen!$B$3:$E$200,Uebersetzungen!$B$2+1,FALSE)</f>
        <v>Total</v>
      </c>
      <c r="D13" s="118"/>
      <c r="E13" s="105" t="str">
        <f>VLOOKUP("&lt;SpaltenTitel_2&gt;",Uebersetzungen!$B$3:$E$200,Uebersetzungen!$B$2+1,FALSE)</f>
        <v>Erwerbspersonen</v>
      </c>
      <c r="F13" s="106"/>
      <c r="G13" s="105" t="str">
        <f>VLOOKUP("&lt;SpaltenTitel_3&gt;",Uebersetzungen!$B$3:$E$200,Uebersetzungen!$B$2+1,FALSE)</f>
        <v>Erwerbstätige</v>
      </c>
      <c r="H13" s="106"/>
      <c r="I13" s="105" t="str">
        <f>VLOOKUP("&lt;SpaltenTitel_4&gt;",Uebersetzungen!$B$3:$E$200,Uebersetzungen!$B$2+1,FALSE)</f>
        <v>Vollzeiterwerbstätige (90-100%)</v>
      </c>
      <c r="J13" s="106"/>
      <c r="K13" s="105" t="str">
        <f>VLOOKUP("&lt;SpaltenTitel_5&gt;",Uebersetzungen!$B$3:$E$200,Uebersetzungen!$B$2+1,FALSE)</f>
        <v>Teilzeiterwerbstätige I (70-89%)</v>
      </c>
      <c r="L13" s="106"/>
      <c r="M13" s="105" t="str">
        <f>VLOOKUP("&lt;SpaltenTitel_6&gt;",Uebersetzungen!$B$3:$E$200,Uebersetzungen!$B$2+1,FALSE)</f>
        <v>Teilzeiterwerbstätige II (50-69%)</v>
      </c>
      <c r="N13" s="106"/>
      <c r="O13" s="105" t="str">
        <f>VLOOKUP("&lt;SpaltenTitel_7&gt;",Uebersetzungen!$B$3:$E$200,Uebersetzungen!$B$2+1,FALSE)</f>
        <v>Teilzeiterwerbstätige III (weniger als 50%)</v>
      </c>
      <c r="P13" s="106"/>
      <c r="Q13" s="105" t="str">
        <f>VLOOKUP("&lt;SpaltenTitel_8&gt;",Uebersetzungen!$B$3:$E$200,Uebersetzungen!$B$2+1,FALSE)</f>
        <v>Erwerbslose</v>
      </c>
      <c r="R13" s="106"/>
      <c r="S13" s="105" t="str">
        <f>VLOOKUP("&lt;SpaltenTitel_9&gt;",Uebersetzungen!$B$3:$E$200,Uebersetzungen!$B$2+1,FALSE)</f>
        <v>Nichterwerbspersonen in Ausbildung</v>
      </c>
      <c r="T13" s="106"/>
      <c r="U13" s="105" t="str">
        <f>VLOOKUP("&lt;SpaltenTitel_10&gt;",Uebersetzungen!$B$3:$E$200,Uebersetzungen!$B$2+1,FALSE)</f>
        <v>Hausfrauen/Hausmänner</v>
      </c>
      <c r="V13" s="106"/>
      <c r="W13" s="105" t="str">
        <f>VLOOKUP("&lt;SpaltenTitel_11&gt;",Uebersetzungen!$B$3:$E$200,Uebersetzungen!$B$2+1,FALSE)</f>
        <v>Rentner/innen (AHV, IV)</v>
      </c>
      <c r="X13" s="106"/>
      <c r="Y13" s="105" t="str">
        <f>VLOOKUP("&lt;SpaltenTitel_12&gt;",Uebersetzungen!$B$3:$E$200,Uebersetzungen!$B$2+1,FALSE)</f>
        <v>Andere Nichterwerbspersonen</v>
      </c>
      <c r="Z13" s="107"/>
    </row>
    <row r="14" spans="1:26" ht="39.75" customHeight="1" thickBot="1" x14ac:dyDescent="0.25">
      <c r="A14" s="21"/>
      <c r="B14" s="22"/>
      <c r="C14" s="55" t="str">
        <f>VLOOKUP("&lt;SpaltenTitel_1.1&gt;",Uebersetzungen!$B$3:$E$200,Uebersetzungen!$B$2+1,FALSE)</f>
        <v>Anzahl Personen</v>
      </c>
      <c r="D14" s="57" t="str">
        <f>VLOOKUP("&lt;SpaltenTitel_1.2&gt;",Uebersetzungen!$B$3:$E$200,Uebersetzungen!$B$2+1,FALSE)</f>
        <v>Vertrauens- intervall:          ± (in %)</v>
      </c>
      <c r="E14" s="67" t="str">
        <f>VLOOKUP("&lt;SpaltenTitel_1.1&gt;",Uebersetzungen!$B$3:$E$200,Uebersetzungen!$B$2+1,FALSE)</f>
        <v>Anzahl Personen</v>
      </c>
      <c r="F14" s="56" t="str">
        <f>VLOOKUP("&lt;SpaltenTitel_1.2&gt;",Uebersetzungen!$B$3:$E$200,Uebersetzungen!$B$2+1,FALSE)</f>
        <v>Vertrauens- intervall:          ± (in %)</v>
      </c>
      <c r="G14" s="67" t="str">
        <f>VLOOKUP("&lt;SpaltenTitel_1.1&gt;",Uebersetzungen!$B$3:$E$200,Uebersetzungen!$B$2+1,FALSE)</f>
        <v>Anzahl Personen</v>
      </c>
      <c r="H14" s="56" t="str">
        <f>VLOOKUP("&lt;SpaltenTitel_1.2&gt;",Uebersetzungen!$B$3:$E$200,Uebersetzungen!$B$2+1,FALSE)</f>
        <v>Vertrauens- intervall:          ± (in %)</v>
      </c>
      <c r="I14" s="67" t="str">
        <f>VLOOKUP("&lt;SpaltenTitel_1.1&gt;",Uebersetzungen!$B$3:$E$200,Uebersetzungen!$B$2+1,FALSE)</f>
        <v>Anzahl Personen</v>
      </c>
      <c r="J14" s="56" t="str">
        <f>VLOOKUP("&lt;SpaltenTitel_1.2&gt;",Uebersetzungen!$B$3:$E$200,Uebersetzungen!$B$2+1,FALSE)</f>
        <v>Vertrauens- intervall:          ± (in %)</v>
      </c>
      <c r="K14" s="67" t="str">
        <f>VLOOKUP("&lt;SpaltenTitel_1.1&gt;",Uebersetzungen!$B$3:$E$200,Uebersetzungen!$B$2+1,FALSE)</f>
        <v>Anzahl Personen</v>
      </c>
      <c r="L14" s="56" t="str">
        <f>VLOOKUP("&lt;SpaltenTitel_1.2&gt;",Uebersetzungen!$B$3:$E$200,Uebersetzungen!$B$2+1,FALSE)</f>
        <v>Vertrauens- intervall:          ± (in %)</v>
      </c>
      <c r="M14" s="67" t="str">
        <f>VLOOKUP("&lt;SpaltenTitel_1.1&gt;",Uebersetzungen!$B$3:$E$200,Uebersetzungen!$B$2+1,FALSE)</f>
        <v>Anzahl Personen</v>
      </c>
      <c r="N14" s="56" t="str">
        <f>VLOOKUP("&lt;SpaltenTitel_1.2&gt;",Uebersetzungen!$B$3:$E$200,Uebersetzungen!$B$2+1,FALSE)</f>
        <v>Vertrauens- intervall:          ± (in %)</v>
      </c>
      <c r="O14" s="67" t="str">
        <f>VLOOKUP("&lt;SpaltenTitel_1.1&gt;",Uebersetzungen!$B$3:$E$200,Uebersetzungen!$B$2+1,FALSE)</f>
        <v>Anzahl Personen</v>
      </c>
      <c r="P14" s="56" t="str">
        <f>VLOOKUP("&lt;SpaltenTitel_1.2&gt;",Uebersetzungen!$B$3:$E$200,Uebersetzungen!$B$2+1,FALSE)</f>
        <v>Vertrauens- intervall:          ± (in %)</v>
      </c>
      <c r="Q14" s="67" t="str">
        <f>VLOOKUP("&lt;SpaltenTitel_1.1&gt;",Uebersetzungen!$B$3:$E$200,Uebersetzungen!$B$2+1,FALSE)</f>
        <v>Anzahl Personen</v>
      </c>
      <c r="R14" s="56" t="str">
        <f>VLOOKUP("&lt;SpaltenTitel_1.2&gt;",Uebersetzungen!$B$3:$E$200,Uebersetzungen!$B$2+1,FALSE)</f>
        <v>Vertrauens- intervall:          ± (in %)</v>
      </c>
      <c r="S14" s="67" t="str">
        <f>VLOOKUP("&lt;SpaltenTitel_1.1&gt;",Uebersetzungen!$B$3:$E$200,Uebersetzungen!$B$2+1,FALSE)</f>
        <v>Anzahl Personen</v>
      </c>
      <c r="T14" s="56" t="str">
        <f>VLOOKUP("&lt;SpaltenTitel_1.2&gt;",Uebersetzungen!$B$3:$E$200,Uebersetzungen!$B$2+1,FALSE)</f>
        <v>Vertrauens- intervall:          ± (in %)</v>
      </c>
      <c r="U14" s="67" t="str">
        <f>VLOOKUP("&lt;SpaltenTitel_1.1&gt;",Uebersetzungen!$B$3:$E$200,Uebersetzungen!$B$2+1,FALSE)</f>
        <v>Anzahl Personen</v>
      </c>
      <c r="V14" s="56" t="str">
        <f>VLOOKUP("&lt;SpaltenTitel_1.2&gt;",Uebersetzungen!$B$3:$E$200,Uebersetzungen!$B$2+1,FALSE)</f>
        <v>Vertrauens- intervall:          ± (in %)</v>
      </c>
      <c r="W14" s="26" t="s">
        <v>0</v>
      </c>
      <c r="X14" s="27" t="s">
        <v>1</v>
      </c>
      <c r="Y14" s="26" t="s">
        <v>0</v>
      </c>
      <c r="Z14" s="58" t="s">
        <v>1</v>
      </c>
    </row>
    <row r="15" spans="1:26" ht="12" customHeight="1" x14ac:dyDescent="0.2">
      <c r="A15" s="114" t="str">
        <f>VLOOKUP("&lt;Zeilentitel_1&gt;",Uebersetzungen!$B$3:$E$199,Uebersetzungen!$B$2+1,FALSE)</f>
        <v>Total</v>
      </c>
      <c r="B15" s="115"/>
      <c r="C15" s="74">
        <v>7507509.0000000205</v>
      </c>
      <c r="D15" s="75">
        <v>5.6008377682885337E-2</v>
      </c>
      <c r="E15" s="74">
        <v>4824333.0213821745</v>
      </c>
      <c r="F15" s="76">
        <v>0.30004687710093625</v>
      </c>
      <c r="G15" s="74">
        <v>4583666.2790937517</v>
      </c>
      <c r="H15" s="76">
        <v>0.31774729905048277</v>
      </c>
      <c r="I15" s="74">
        <v>3099858.7045490192</v>
      </c>
      <c r="J15" s="76">
        <v>0.47533683478947386</v>
      </c>
      <c r="K15" s="74">
        <v>571684.01424721442</v>
      </c>
      <c r="L15" s="76">
        <v>1.344307835971869</v>
      </c>
      <c r="M15" s="74">
        <v>452897.70433698106</v>
      </c>
      <c r="N15" s="76">
        <v>1.5374534174700025</v>
      </c>
      <c r="O15" s="74">
        <v>459225.85596053005</v>
      </c>
      <c r="P15" s="76">
        <v>1.5372707927746438</v>
      </c>
      <c r="Q15" s="74">
        <v>240666.74228842717</v>
      </c>
      <c r="R15" s="76">
        <v>2.2099205704937579</v>
      </c>
      <c r="S15" s="74">
        <v>444665.15345523361</v>
      </c>
      <c r="T15" s="76">
        <v>1.6107352237210852</v>
      </c>
      <c r="U15" s="74">
        <v>230586.63229197718</v>
      </c>
      <c r="V15" s="76">
        <v>2.2247222771493504</v>
      </c>
      <c r="W15" s="74">
        <v>1798010.369941134</v>
      </c>
      <c r="X15" s="76">
        <v>0.65812959348385713</v>
      </c>
      <c r="Y15" s="74">
        <v>209913.82292950194</v>
      </c>
      <c r="Z15" s="77">
        <v>2.3995350982988635</v>
      </c>
    </row>
    <row r="16" spans="1:26" x14ac:dyDescent="0.2">
      <c r="A16" s="111" t="str">
        <f>VLOOKUP("&lt;Zeilentitel_2&gt;",Uebersetzungen!$B$3:$E$199,Uebersetzungen!$B$2+1,FALSE)</f>
        <v>Kanton</v>
      </c>
      <c r="B16" s="46" t="str">
        <f>VLOOKUP("&lt;Zeilentitel_2.1&gt;",Uebersetzungen!$B$3:$E$199,Uebersetzungen!$B$2+1,FALSE)</f>
        <v>Zürich</v>
      </c>
      <c r="C16" s="18">
        <v>1347408.0000000012</v>
      </c>
      <c r="D16" s="64">
        <v>0.14609697640702171</v>
      </c>
      <c r="E16" s="18">
        <v>919188.77478820167</v>
      </c>
      <c r="F16" s="59">
        <v>0.71800827307343373</v>
      </c>
      <c r="G16" s="18">
        <v>878413.06419702829</v>
      </c>
      <c r="H16" s="59">
        <v>0.76204209544854351</v>
      </c>
      <c r="I16" s="18">
        <v>603483.29219571513</v>
      </c>
      <c r="J16" s="59">
        <v>1.1536978346362996</v>
      </c>
      <c r="K16" s="18">
        <v>113439.28709818315</v>
      </c>
      <c r="L16" s="59">
        <v>3.3062588104877375</v>
      </c>
      <c r="M16" s="18">
        <v>82927.898437574142</v>
      </c>
      <c r="N16" s="59">
        <v>3.9532115392263529</v>
      </c>
      <c r="O16" s="18">
        <v>78562.586465556524</v>
      </c>
      <c r="P16" s="59">
        <v>4.1048609333519215</v>
      </c>
      <c r="Q16" s="18">
        <v>40775.710591173607</v>
      </c>
      <c r="R16" s="59">
        <v>6.0529615230248464</v>
      </c>
      <c r="S16" s="18">
        <v>73083.891456658923</v>
      </c>
      <c r="T16" s="59">
        <v>4.5350820414524753</v>
      </c>
      <c r="U16" s="18">
        <v>38919.864672561933</v>
      </c>
      <c r="V16" s="59">
        <v>6.0080897507492415</v>
      </c>
      <c r="W16" s="18">
        <v>280051.1472713151</v>
      </c>
      <c r="X16" s="59">
        <v>1.8892833360503429</v>
      </c>
      <c r="Y16" s="18">
        <v>36164.321811262649</v>
      </c>
      <c r="Z16" s="70">
        <v>6.5076915596925753</v>
      </c>
    </row>
    <row r="17" spans="1:26" x14ac:dyDescent="0.2">
      <c r="A17" s="112"/>
      <c r="B17" s="28" t="str">
        <f>VLOOKUP("&lt;Zeilentitel_2.2&gt;",Uebersetzungen!$B$3:$E$199,Uebersetzungen!$B$2+1,FALSE)</f>
        <v>Bern</v>
      </c>
      <c r="C17" s="18">
        <v>895907.00000001572</v>
      </c>
      <c r="D17" s="64">
        <v>0.15512405708295124</v>
      </c>
      <c r="E17" s="18">
        <v>573917.72000173037</v>
      </c>
      <c r="F17" s="59">
        <v>0.95534475439534328</v>
      </c>
      <c r="G17" s="18">
        <v>553923.05011131929</v>
      </c>
      <c r="H17" s="59">
        <v>0.99416576937641488</v>
      </c>
      <c r="I17" s="18">
        <v>344218.21806750447</v>
      </c>
      <c r="J17" s="59">
        <v>1.5997763642921696</v>
      </c>
      <c r="K17" s="18">
        <v>81704.576175797294</v>
      </c>
      <c r="L17" s="59">
        <v>3.8376163089329203</v>
      </c>
      <c r="M17" s="18">
        <v>62252.255758285042</v>
      </c>
      <c r="N17" s="59">
        <v>4.4632953702860965</v>
      </c>
      <c r="O17" s="18">
        <v>65748.00010973282</v>
      </c>
      <c r="P17" s="59">
        <v>4.3389324266829288</v>
      </c>
      <c r="Q17" s="18">
        <v>19994.669890411358</v>
      </c>
      <c r="R17" s="59">
        <v>8.7022247844042049</v>
      </c>
      <c r="S17" s="18">
        <v>43227.937607568972</v>
      </c>
      <c r="T17" s="59">
        <v>5.7441399771561565</v>
      </c>
      <c r="U17" s="18">
        <v>22876.950389084508</v>
      </c>
      <c r="V17" s="59">
        <v>7.8073276798136879</v>
      </c>
      <c r="W17" s="18">
        <v>236404.70341665696</v>
      </c>
      <c r="X17" s="59">
        <v>1.9309907041924343</v>
      </c>
      <c r="Y17" s="18">
        <v>19479.688584974258</v>
      </c>
      <c r="Z17" s="70">
        <v>8.6748301457385164</v>
      </c>
    </row>
    <row r="18" spans="1:26" x14ac:dyDescent="0.2">
      <c r="A18" s="112"/>
      <c r="B18" s="28" t="str">
        <f>VLOOKUP("&lt;Zeilentitel_2.3&gt;",Uebersetzungen!$B$3:$E$199,Uebersetzungen!$B$2+1,FALSE)</f>
        <v>Luzern</v>
      </c>
      <c r="C18" s="18">
        <v>363522.99999999715</v>
      </c>
      <c r="D18" s="64">
        <v>0.19345630722254253</v>
      </c>
      <c r="E18" s="18">
        <v>244689.73600269278</v>
      </c>
      <c r="F18" s="59">
        <v>0.99042159364840265</v>
      </c>
      <c r="G18" s="18">
        <v>237049.31697691829</v>
      </c>
      <c r="H18" s="59">
        <v>1.0292090175661421</v>
      </c>
      <c r="I18" s="18">
        <v>157994.80743784911</v>
      </c>
      <c r="J18" s="59">
        <v>1.5971050763443986</v>
      </c>
      <c r="K18" s="18">
        <v>27334.719267368375</v>
      </c>
      <c r="L18" s="59">
        <v>4.7496811117363222</v>
      </c>
      <c r="M18" s="18">
        <v>24003.126655745018</v>
      </c>
      <c r="N18" s="59">
        <v>5.1237561574387716</v>
      </c>
      <c r="O18" s="18">
        <v>27716.663615955356</v>
      </c>
      <c r="P18" s="59">
        <v>4.7418971149568145</v>
      </c>
      <c r="Q18" s="18">
        <v>7640.4190257744376</v>
      </c>
      <c r="R18" s="59">
        <v>10.008563724353504</v>
      </c>
      <c r="S18" s="18">
        <v>17774.539612033703</v>
      </c>
      <c r="T18" s="59">
        <v>6.4270515427308856</v>
      </c>
      <c r="U18" s="18">
        <v>10333.216194698334</v>
      </c>
      <c r="V18" s="59">
        <v>8.2282326762928957</v>
      </c>
      <c r="W18" s="18">
        <v>81717.611852461036</v>
      </c>
      <c r="X18" s="59">
        <v>2.4025437751980672</v>
      </c>
      <c r="Y18" s="18">
        <v>9007.8963381118156</v>
      </c>
      <c r="Z18" s="70">
        <v>9.0829909051856728</v>
      </c>
    </row>
    <row r="19" spans="1:26" x14ac:dyDescent="0.2">
      <c r="A19" s="112"/>
      <c r="B19" s="28" t="str">
        <f>VLOOKUP("&lt;Zeilentitel_2.4&gt;",Uebersetzungen!$B$3:$E$199,Uebersetzungen!$B$2+1,FALSE)</f>
        <v>Uri</v>
      </c>
      <c r="C19" s="18">
        <v>31946.000000000327</v>
      </c>
      <c r="D19" s="64">
        <v>0.88503992777014173</v>
      </c>
      <c r="E19" s="18">
        <v>20709.394004141996</v>
      </c>
      <c r="F19" s="59">
        <v>4.9654770676470337</v>
      </c>
      <c r="G19" s="18">
        <v>20257.302504943022</v>
      </c>
      <c r="H19" s="59">
        <v>5.0894814536814268</v>
      </c>
      <c r="I19" s="18">
        <v>13604.697672559101</v>
      </c>
      <c r="J19" s="59">
        <v>7.7379754540446841</v>
      </c>
      <c r="K19" s="18">
        <v>1797.2761239705833</v>
      </c>
      <c r="L19" s="59">
        <v>26.71414904932363</v>
      </c>
      <c r="M19" s="18">
        <v>2005.5282105292601</v>
      </c>
      <c r="N19" s="59">
        <v>25.118639254054514</v>
      </c>
      <c r="O19" s="18">
        <v>2849.8004978840772</v>
      </c>
      <c r="P19" s="59">
        <v>20.402849356326925</v>
      </c>
      <c r="Q19" s="48">
        <v>452.09149919897817</v>
      </c>
      <c r="R19" s="68">
        <v>58.611828355593609</v>
      </c>
      <c r="S19" s="47">
        <v>1175.450291860961</v>
      </c>
      <c r="T19" s="68">
        <v>35.536709977149805</v>
      </c>
      <c r="U19" s="47">
        <v>1279.3502118017452</v>
      </c>
      <c r="V19" s="68">
        <v>32.727930595016595</v>
      </c>
      <c r="W19" s="18">
        <v>8091.227485250497</v>
      </c>
      <c r="X19" s="59">
        <v>10.484079797127773</v>
      </c>
      <c r="Y19" s="48">
        <v>690.57800694512616</v>
      </c>
      <c r="Z19" s="71">
        <v>48.856835169747988</v>
      </c>
    </row>
    <row r="20" spans="1:26" x14ac:dyDescent="0.2">
      <c r="A20" s="112"/>
      <c r="B20" s="28" t="str">
        <f>VLOOKUP("&lt;Zeilentitel_2.5&gt;",Uebersetzungen!$B$3:$E$199,Uebersetzungen!$B$2+1,FALSE)</f>
        <v>Schwyz</v>
      </c>
      <c r="C20" s="18">
        <v>142109.00000000221</v>
      </c>
      <c r="D20" s="64">
        <v>0.38530191072089004</v>
      </c>
      <c r="E20" s="18">
        <v>95383.912508419744</v>
      </c>
      <c r="F20" s="59">
        <v>2.2270367029792908</v>
      </c>
      <c r="G20" s="18">
        <v>92742.314247326445</v>
      </c>
      <c r="H20" s="59">
        <v>2.3106987637671699</v>
      </c>
      <c r="I20" s="18">
        <v>65634.434528628088</v>
      </c>
      <c r="J20" s="59">
        <v>3.4151943909605169</v>
      </c>
      <c r="K20" s="18">
        <v>7678.645558056176</v>
      </c>
      <c r="L20" s="59">
        <v>12.841478663808081</v>
      </c>
      <c r="M20" s="18">
        <v>8104.4061467622123</v>
      </c>
      <c r="N20" s="59">
        <v>12.408099587109476</v>
      </c>
      <c r="O20" s="18">
        <v>11324.82801388</v>
      </c>
      <c r="P20" s="59">
        <v>10.405551274655162</v>
      </c>
      <c r="Q20" s="18">
        <v>2641.5982610933379</v>
      </c>
      <c r="R20" s="59">
        <v>23.37546510034014</v>
      </c>
      <c r="S20" s="18">
        <v>6526.6176681687466</v>
      </c>
      <c r="T20" s="59">
        <v>14.788097603913604</v>
      </c>
      <c r="U20" s="18">
        <v>5002.7680609789577</v>
      </c>
      <c r="V20" s="59">
        <v>16.280289988926544</v>
      </c>
      <c r="W20" s="18">
        <v>32024.369791025558</v>
      </c>
      <c r="X20" s="59">
        <v>5.518831752580752</v>
      </c>
      <c r="Y20" s="18">
        <v>3171.3319714091526</v>
      </c>
      <c r="Z20" s="70">
        <v>21.815036858000418</v>
      </c>
    </row>
    <row r="21" spans="1:26" x14ac:dyDescent="0.2">
      <c r="A21" s="112"/>
      <c r="B21" s="28" t="str">
        <f>VLOOKUP("&lt;Zeilentitel_2.6&gt;",Uebersetzungen!$B$3:$E$199,Uebersetzungen!$B$2+1,FALSE)</f>
        <v>Obwalden</v>
      </c>
      <c r="C21" s="18">
        <v>33148.999999999549</v>
      </c>
      <c r="D21" s="64">
        <v>0.64574877992726687</v>
      </c>
      <c r="E21" s="18">
        <v>21888.195363984109</v>
      </c>
      <c r="F21" s="59">
        <v>4.7861193500321111</v>
      </c>
      <c r="G21" s="18">
        <v>21459.34725355031</v>
      </c>
      <c r="H21" s="59">
        <v>4.9130854152194754</v>
      </c>
      <c r="I21" s="18">
        <v>14055.766888172402</v>
      </c>
      <c r="J21" s="59">
        <v>7.6893095973977834</v>
      </c>
      <c r="K21" s="18">
        <v>2557.3182376343448</v>
      </c>
      <c r="L21" s="59">
        <v>22.635038745430784</v>
      </c>
      <c r="M21" s="18">
        <v>1920.2175617929724</v>
      </c>
      <c r="N21" s="59">
        <v>26.408395915061718</v>
      </c>
      <c r="O21" s="18">
        <v>2926.0445659505735</v>
      </c>
      <c r="P21" s="59">
        <v>20.878376715578973</v>
      </c>
      <c r="Q21" s="48">
        <v>428.84811043379852</v>
      </c>
      <c r="R21" s="68">
        <v>58.488838597612073</v>
      </c>
      <c r="S21" s="47">
        <v>1572.901913058733</v>
      </c>
      <c r="T21" s="68">
        <v>28.268269729935284</v>
      </c>
      <c r="U21" s="47">
        <v>1047.2869528735864</v>
      </c>
      <c r="V21" s="68">
        <v>36.922339992335132</v>
      </c>
      <c r="W21" s="18">
        <v>7766.3320958272525</v>
      </c>
      <c r="X21" s="59">
        <v>11.525839466345957</v>
      </c>
      <c r="Y21" s="48">
        <v>874.28367425588249</v>
      </c>
      <c r="Z21" s="71">
        <v>40.187330498971228</v>
      </c>
    </row>
    <row r="22" spans="1:26" x14ac:dyDescent="0.2">
      <c r="A22" s="112"/>
      <c r="B22" s="28" t="str">
        <f>VLOOKUP("&lt;Zeilentitel_2.7&gt;",Uebersetzungen!$B$3:$E$199,Uebersetzungen!$B$2+1,FALSE)</f>
        <v>Nidwalden</v>
      </c>
      <c r="C22" s="18">
        <v>38597.999999999905</v>
      </c>
      <c r="D22" s="64">
        <v>0.64669126821314926</v>
      </c>
      <c r="E22" s="18">
        <v>24362.928319156443</v>
      </c>
      <c r="F22" s="59">
        <v>4.4398560005495158</v>
      </c>
      <c r="G22" s="18">
        <v>23904.05586914219</v>
      </c>
      <c r="H22" s="59">
        <v>4.5368951760620968</v>
      </c>
      <c r="I22" s="18">
        <v>16573.692741112583</v>
      </c>
      <c r="J22" s="59">
        <v>6.6472972860444894</v>
      </c>
      <c r="K22" s="18">
        <v>2550.189005847918</v>
      </c>
      <c r="L22" s="59">
        <v>21.700550326708598</v>
      </c>
      <c r="M22" s="18">
        <v>2502.4425038864651</v>
      </c>
      <c r="N22" s="59">
        <v>21.988364753643211</v>
      </c>
      <c r="O22" s="18">
        <v>2277.73161829521</v>
      </c>
      <c r="P22" s="59">
        <v>23.056156130263915</v>
      </c>
      <c r="Q22" s="48">
        <v>458.87245001425526</v>
      </c>
      <c r="R22" s="68">
        <v>56.187928235066742</v>
      </c>
      <c r="S22" s="47">
        <v>1621.4188403391208</v>
      </c>
      <c r="T22" s="68">
        <v>28.408034419009091</v>
      </c>
      <c r="U22" s="47">
        <v>1368.5931646848342</v>
      </c>
      <c r="V22" s="68">
        <v>30.984784639816258</v>
      </c>
      <c r="W22" s="18">
        <v>10160.163632913478</v>
      </c>
      <c r="X22" s="59">
        <v>9.6377450003854381</v>
      </c>
      <c r="Y22" s="47">
        <v>1084.896042906043</v>
      </c>
      <c r="Z22" s="71">
        <v>35.310200690202031</v>
      </c>
    </row>
    <row r="23" spans="1:26" x14ac:dyDescent="0.2">
      <c r="A23" s="112"/>
      <c r="B23" s="28" t="str">
        <f>VLOOKUP("&lt;Zeilentitel_2.8&gt;",Uebersetzungen!$B$3:$E$199,Uebersetzungen!$B$2+1,FALSE)</f>
        <v>Glarus</v>
      </c>
      <c r="C23" s="18">
        <v>35219.999999999542</v>
      </c>
      <c r="D23" s="64">
        <v>0.8282212537918282</v>
      </c>
      <c r="E23" s="18">
        <v>22884.244719341874</v>
      </c>
      <c r="F23" s="59">
        <v>4.894782831666741</v>
      </c>
      <c r="G23" s="18">
        <v>22373.952143873881</v>
      </c>
      <c r="H23" s="59">
        <v>5.025951517141185</v>
      </c>
      <c r="I23" s="18">
        <v>16057.867315374842</v>
      </c>
      <c r="J23" s="59">
        <v>7.2251681025341403</v>
      </c>
      <c r="K23" s="18">
        <v>2564.5685033498148</v>
      </c>
      <c r="L23" s="59">
        <v>22.920230283119515</v>
      </c>
      <c r="M23" s="47">
        <v>1795.7464240708377</v>
      </c>
      <c r="N23" s="68">
        <v>27.683944149363374</v>
      </c>
      <c r="O23" s="18">
        <v>1955.7699010783838</v>
      </c>
      <c r="P23" s="59">
        <v>25.941919710329053</v>
      </c>
      <c r="Q23" s="48">
        <v>510.29257546799101</v>
      </c>
      <c r="R23" s="68">
        <v>56.472291581130818</v>
      </c>
      <c r="S23" s="47">
        <v>1735.9734719589285</v>
      </c>
      <c r="T23" s="68">
        <v>30.571761849294809</v>
      </c>
      <c r="U23" s="47">
        <v>1213.3925984869527</v>
      </c>
      <c r="V23" s="68">
        <v>33.689737583700797</v>
      </c>
      <c r="W23" s="18">
        <v>8620.0002909097566</v>
      </c>
      <c r="X23" s="59">
        <v>10.698298443238288</v>
      </c>
      <c r="Y23" s="48">
        <v>766.38891930203931</v>
      </c>
      <c r="Z23" s="71">
        <v>45.760666625796773</v>
      </c>
    </row>
    <row r="24" spans="1:26" x14ac:dyDescent="0.2">
      <c r="A24" s="112"/>
      <c r="B24" s="28" t="str">
        <f>VLOOKUP("&lt;Zeilentitel_2.9&gt;",Uebersetzungen!$B$3:$E$199,Uebersetzungen!$B$2+1,FALSE)</f>
        <v>Zug</v>
      </c>
      <c r="C24" s="18">
        <v>111082.99999999793</v>
      </c>
      <c r="D24" s="64">
        <v>0.30180082167526157</v>
      </c>
      <c r="E24" s="18">
        <v>73728.154201331403</v>
      </c>
      <c r="F24" s="59">
        <v>1.7443809547009004</v>
      </c>
      <c r="G24" s="18">
        <v>70471.520349911138</v>
      </c>
      <c r="H24" s="59">
        <v>1.8498104899469261</v>
      </c>
      <c r="I24" s="18">
        <v>50150.875465828183</v>
      </c>
      <c r="J24" s="59">
        <v>2.6783880063115229</v>
      </c>
      <c r="K24" s="18">
        <v>7146.534136032913</v>
      </c>
      <c r="L24" s="59">
        <v>9.1772323023148505</v>
      </c>
      <c r="M24" s="18">
        <v>6338.4025449664805</v>
      </c>
      <c r="N24" s="59">
        <v>9.8389881198843447</v>
      </c>
      <c r="O24" s="18">
        <v>6835.7082030835581</v>
      </c>
      <c r="P24" s="59">
        <v>9.4964437483221467</v>
      </c>
      <c r="Q24" s="18">
        <v>3256.6338514202967</v>
      </c>
      <c r="R24" s="59">
        <v>14.457360227882155</v>
      </c>
      <c r="S24" s="18">
        <v>6567.9741433084282</v>
      </c>
      <c r="T24" s="59">
        <v>10.11280473685278</v>
      </c>
      <c r="U24" s="18">
        <v>3833.8614495437519</v>
      </c>
      <c r="V24" s="59">
        <v>13.003977670301785</v>
      </c>
      <c r="W24" s="18">
        <v>23573.582206462779</v>
      </c>
      <c r="X24" s="59">
        <v>4.6093321385749162</v>
      </c>
      <c r="Y24" s="18">
        <v>3379.4279993515183</v>
      </c>
      <c r="Z24" s="70">
        <v>14.489579275062905</v>
      </c>
    </row>
    <row r="25" spans="1:26" x14ac:dyDescent="0.2">
      <c r="A25" s="112"/>
      <c r="B25" s="28" t="str">
        <f>VLOOKUP("&lt;Zeilentitel_2.10&gt;",Uebersetzungen!$B$3:$E$199,Uebersetzungen!$B$2+1,FALSE)</f>
        <v>Freiburg</v>
      </c>
      <c r="C25" s="18">
        <v>283762.9999999993</v>
      </c>
      <c r="D25" s="64">
        <v>0.32445426787497678</v>
      </c>
      <c r="E25" s="18">
        <v>185893.6334891161</v>
      </c>
      <c r="F25" s="59">
        <v>1.638711642717853</v>
      </c>
      <c r="G25" s="18">
        <v>176902.70997562399</v>
      </c>
      <c r="H25" s="59">
        <v>1.7355637187187678</v>
      </c>
      <c r="I25" s="18">
        <v>118929.81722176503</v>
      </c>
      <c r="J25" s="59">
        <v>2.651853173347722</v>
      </c>
      <c r="K25" s="18">
        <v>23121.088723038862</v>
      </c>
      <c r="L25" s="59">
        <v>7.1129700555729629</v>
      </c>
      <c r="M25" s="18">
        <v>18942.769190496732</v>
      </c>
      <c r="N25" s="59">
        <v>7.9260265019760094</v>
      </c>
      <c r="O25" s="18">
        <v>15909.034840323289</v>
      </c>
      <c r="P25" s="59">
        <v>9.0210967900258208</v>
      </c>
      <c r="Q25" s="18">
        <v>8990.9235134920382</v>
      </c>
      <c r="R25" s="59">
        <v>12.931114892409399</v>
      </c>
      <c r="S25" s="18">
        <v>19867.513433107695</v>
      </c>
      <c r="T25" s="59">
        <v>8.4450744826968922</v>
      </c>
      <c r="U25" s="18">
        <v>7764.1512813030376</v>
      </c>
      <c r="V25" s="59">
        <v>13.432100877354415</v>
      </c>
      <c r="W25" s="18">
        <v>62664.813344982787</v>
      </c>
      <c r="X25" s="59">
        <v>3.9364881637639559</v>
      </c>
      <c r="Y25" s="18">
        <v>7572.8884514897973</v>
      </c>
      <c r="Z25" s="70">
        <v>14.109449138773725</v>
      </c>
    </row>
    <row r="26" spans="1:26" x14ac:dyDescent="0.2">
      <c r="A26" s="112"/>
      <c r="B26" s="28" t="str">
        <f>VLOOKUP("&lt;Zeilentitel_2.11&gt;",Uebersetzungen!$B$3:$E$199,Uebersetzungen!$B$2+1,FALSE)</f>
        <v>Solothurn</v>
      </c>
      <c r="C26" s="18">
        <v>243244.00000000451</v>
      </c>
      <c r="D26" s="64">
        <v>0.37149545326778916</v>
      </c>
      <c r="E26" s="18">
        <v>153565.08733650239</v>
      </c>
      <c r="F26" s="59">
        <v>1.9171336880607335</v>
      </c>
      <c r="G26" s="18">
        <v>146483.37004354439</v>
      </c>
      <c r="H26" s="59">
        <v>2.0167399307255476</v>
      </c>
      <c r="I26" s="18">
        <v>98381.31260422882</v>
      </c>
      <c r="J26" s="59">
        <v>3.0051917560667505</v>
      </c>
      <c r="K26" s="18">
        <v>16830.221236025442</v>
      </c>
      <c r="L26" s="59">
        <v>8.6742128468856645</v>
      </c>
      <c r="M26" s="18">
        <v>16064.743188195225</v>
      </c>
      <c r="N26" s="59">
        <v>8.9915637647900297</v>
      </c>
      <c r="O26" s="18">
        <v>15207.09301509463</v>
      </c>
      <c r="P26" s="59">
        <v>9.3276444245920356</v>
      </c>
      <c r="Q26" s="18">
        <v>7081.7172929580192</v>
      </c>
      <c r="R26" s="59">
        <v>14.92536030255153</v>
      </c>
      <c r="S26" s="18">
        <v>11771.69793431049</v>
      </c>
      <c r="T26" s="59">
        <v>11.211509245861581</v>
      </c>
      <c r="U26" s="18">
        <v>8492.681585324317</v>
      </c>
      <c r="V26" s="59">
        <v>12.944395734220192</v>
      </c>
      <c r="W26" s="18">
        <v>62680.319114350765</v>
      </c>
      <c r="X26" s="59">
        <v>3.9049311699067255</v>
      </c>
      <c r="Y26" s="18">
        <v>6734.2140295167628</v>
      </c>
      <c r="Z26" s="70">
        <v>15.010198975049818</v>
      </c>
    </row>
    <row r="27" spans="1:26" x14ac:dyDescent="0.2">
      <c r="A27" s="112"/>
      <c r="B27" s="28" t="str">
        <f>VLOOKUP("&lt;Zeilentitel_2.12&gt;",Uebersetzungen!$B$3:$E$199,Uebersetzungen!$B$2+1,FALSE)</f>
        <v>Basel-Stadt</v>
      </c>
      <c r="C27" s="18">
        <v>168790.9999999984</v>
      </c>
      <c r="D27" s="64">
        <v>0.48378807353462988</v>
      </c>
      <c r="E27" s="18">
        <v>106891.93348575839</v>
      </c>
      <c r="F27" s="59">
        <v>2.2570261515729757</v>
      </c>
      <c r="G27" s="18">
        <v>100063.7240273119</v>
      </c>
      <c r="H27" s="59">
        <v>2.4381388453106241</v>
      </c>
      <c r="I27" s="18">
        <v>65821.403478614957</v>
      </c>
      <c r="J27" s="59">
        <v>3.6494547012909262</v>
      </c>
      <c r="K27" s="18">
        <v>14578.105280229345</v>
      </c>
      <c r="L27" s="59">
        <v>9.4192927971173539</v>
      </c>
      <c r="M27" s="18">
        <v>9983.6019975702729</v>
      </c>
      <c r="N27" s="59">
        <v>11.749604848992446</v>
      </c>
      <c r="O27" s="18">
        <v>9680.6132708971509</v>
      </c>
      <c r="P27" s="59">
        <v>12.239975403603042</v>
      </c>
      <c r="Q27" s="18">
        <v>6828.2094584465112</v>
      </c>
      <c r="R27" s="59">
        <v>14.893970969700126</v>
      </c>
      <c r="S27" s="18">
        <v>9616.1572624030778</v>
      </c>
      <c r="T27" s="59">
        <v>13.306744724019824</v>
      </c>
      <c r="U27" s="18">
        <v>5464.4890798694523</v>
      </c>
      <c r="V27" s="59">
        <v>17.139151942810333</v>
      </c>
      <c r="W27" s="18">
        <v>41502.625467451653</v>
      </c>
      <c r="X27" s="59">
        <v>5.03227100194822</v>
      </c>
      <c r="Y27" s="18">
        <v>5315.7947045159744</v>
      </c>
      <c r="Z27" s="70">
        <v>16.999145782012661</v>
      </c>
    </row>
    <row r="28" spans="1:26" x14ac:dyDescent="0.2">
      <c r="A28" s="112"/>
      <c r="B28" s="28" t="str">
        <f>VLOOKUP("&lt;Zeilentitel_2.13&gt;",Uebersetzungen!$B$3:$E$199,Uebersetzungen!$B$2+1,FALSE)</f>
        <v>Basel-Landschaft</v>
      </c>
      <c r="C28" s="18">
        <v>253309.00000000291</v>
      </c>
      <c r="D28" s="64">
        <v>0.31598533704063336</v>
      </c>
      <c r="E28" s="18">
        <v>151925.81574666582</v>
      </c>
      <c r="F28" s="59">
        <v>1.9491639640523812</v>
      </c>
      <c r="G28" s="18">
        <v>144378.13412339095</v>
      </c>
      <c r="H28" s="59">
        <v>2.0498391135228955</v>
      </c>
      <c r="I28" s="18">
        <v>94898.143759619823</v>
      </c>
      <c r="J28" s="59">
        <v>3.0414328592046704</v>
      </c>
      <c r="K28" s="18">
        <v>17771.746396096751</v>
      </c>
      <c r="L28" s="59">
        <v>8.3539440970757894</v>
      </c>
      <c r="M28" s="18">
        <v>16223.978081064615</v>
      </c>
      <c r="N28" s="59">
        <v>8.8424107390678159</v>
      </c>
      <c r="O28" s="18">
        <v>15484.265886609741</v>
      </c>
      <c r="P28" s="59">
        <v>9.126596317792286</v>
      </c>
      <c r="Q28" s="18">
        <v>7547.6816232748861</v>
      </c>
      <c r="R28" s="59">
        <v>14.291853061193638</v>
      </c>
      <c r="S28" s="18">
        <v>15499.817369251183</v>
      </c>
      <c r="T28" s="59">
        <v>9.680236972478891</v>
      </c>
      <c r="U28" s="18">
        <v>7577.089936746208</v>
      </c>
      <c r="V28" s="59">
        <v>13.577053472862302</v>
      </c>
      <c r="W28" s="18">
        <v>70756.566553495155</v>
      </c>
      <c r="X28" s="59">
        <v>3.5558865466320286</v>
      </c>
      <c r="Y28" s="18">
        <v>7549.7103938445616</v>
      </c>
      <c r="Z28" s="70">
        <v>14.097351268224131</v>
      </c>
    </row>
    <row r="29" spans="1:26" x14ac:dyDescent="0.2">
      <c r="A29" s="112"/>
      <c r="B29" s="28" t="str">
        <f>VLOOKUP("&lt;Zeilentitel_2.14&gt;",Uebersetzungen!$B$3:$E$199,Uebersetzungen!$B$2+1,FALSE)</f>
        <v>Schaffhausen</v>
      </c>
      <c r="C29" s="18">
        <v>74427.999999999491</v>
      </c>
      <c r="D29" s="64">
        <v>0.63817975574598951</v>
      </c>
      <c r="E29" s="18">
        <v>45754.786520008653</v>
      </c>
      <c r="F29" s="59">
        <v>3.6742526469547059</v>
      </c>
      <c r="G29" s="18">
        <v>44009.555214140251</v>
      </c>
      <c r="H29" s="59">
        <v>3.8368446037125854</v>
      </c>
      <c r="I29" s="18">
        <v>29987.688922988233</v>
      </c>
      <c r="J29" s="59">
        <v>5.5558586093935025</v>
      </c>
      <c r="K29" s="18">
        <v>4806.6982696883342</v>
      </c>
      <c r="L29" s="59">
        <v>16.825930289699382</v>
      </c>
      <c r="M29" s="18">
        <v>4105.6683083138842</v>
      </c>
      <c r="N29" s="59">
        <v>18.365113571838688</v>
      </c>
      <c r="O29" s="18">
        <v>5109.4997131498149</v>
      </c>
      <c r="P29" s="59">
        <v>16.27340111974571</v>
      </c>
      <c r="Q29" s="47">
        <v>1745.2313058683853</v>
      </c>
      <c r="R29" s="68">
        <v>29.533224210589285</v>
      </c>
      <c r="S29" s="18">
        <v>3954.0466673905776</v>
      </c>
      <c r="T29" s="59">
        <v>18.98831543336123</v>
      </c>
      <c r="U29" s="18">
        <v>2423.8783155962524</v>
      </c>
      <c r="V29" s="59">
        <v>25.015768159009738</v>
      </c>
      <c r="W29" s="18">
        <v>20193.537363994776</v>
      </c>
      <c r="X29" s="59">
        <v>6.7163432425688088</v>
      </c>
      <c r="Y29" s="18">
        <v>2101.7511330092179</v>
      </c>
      <c r="Z29" s="70">
        <v>27.296840837669219</v>
      </c>
    </row>
    <row r="30" spans="1:26" x14ac:dyDescent="0.2">
      <c r="A30" s="112"/>
      <c r="B30" s="28" t="str">
        <f>VLOOKUP("&lt;Zeilentitel_2.15&gt;",Uebersetzungen!$B$3:$E$199,Uebersetzungen!$B$2+1,FALSE)</f>
        <v>Appenzell Ausserrhoden</v>
      </c>
      <c r="C30" s="18">
        <v>46838.000000000378</v>
      </c>
      <c r="D30" s="64">
        <v>0.83967259033925279</v>
      </c>
      <c r="E30" s="18">
        <v>30312.42621454005</v>
      </c>
      <c r="F30" s="59">
        <v>4.2318626985810743</v>
      </c>
      <c r="G30" s="18">
        <v>29388.978766468987</v>
      </c>
      <c r="H30" s="59">
        <v>4.3765942615779316</v>
      </c>
      <c r="I30" s="18">
        <v>19074.360868084197</v>
      </c>
      <c r="J30" s="59">
        <v>6.7664436271449686</v>
      </c>
      <c r="K30" s="18">
        <v>3627.2761299797608</v>
      </c>
      <c r="L30" s="59">
        <v>18.790464259662734</v>
      </c>
      <c r="M30" s="18">
        <v>2538.4302500251656</v>
      </c>
      <c r="N30" s="59">
        <v>22.788090738881834</v>
      </c>
      <c r="O30" s="18">
        <v>4148.9115183798622</v>
      </c>
      <c r="P30" s="59">
        <v>17.695466791458227</v>
      </c>
      <c r="Q30" s="48">
        <v>923.4474480710594</v>
      </c>
      <c r="R30" s="68">
        <v>41.843944714555157</v>
      </c>
      <c r="S30" s="18">
        <v>2471.5005414947523</v>
      </c>
      <c r="T30" s="59">
        <v>23.128549298955665</v>
      </c>
      <c r="U30" s="47">
        <v>1345.0460740250833</v>
      </c>
      <c r="V30" s="68">
        <v>32.535944524082225</v>
      </c>
      <c r="W30" s="18">
        <v>11326.303852222523</v>
      </c>
      <c r="X30" s="59">
        <v>9.2699825464809589</v>
      </c>
      <c r="Y30" s="47">
        <v>1382.7233177179678</v>
      </c>
      <c r="Z30" s="71">
        <v>32.48067167275336</v>
      </c>
    </row>
    <row r="31" spans="1:26" x14ac:dyDescent="0.2">
      <c r="A31" s="112"/>
      <c r="B31" s="28" t="str">
        <f>VLOOKUP("&lt;Zeilentitel_2.16&gt;",Uebersetzungen!$B$3:$E$199,Uebersetzungen!$B$2+1,FALSE)</f>
        <v>Appenzell Innerrhoden</v>
      </c>
      <c r="C31" s="18">
        <v>13807.999999999938</v>
      </c>
      <c r="D31" s="64">
        <v>1.1928774840542644</v>
      </c>
      <c r="E31" s="18">
        <v>8783.6274753500056</v>
      </c>
      <c r="F31" s="59">
        <v>7.77199730656434</v>
      </c>
      <c r="G31" s="18">
        <v>8706.2918298730983</v>
      </c>
      <c r="H31" s="59">
        <v>7.8576627629397704</v>
      </c>
      <c r="I31" s="18">
        <v>5537.4535961222846</v>
      </c>
      <c r="J31" s="59">
        <v>12.554748697690362</v>
      </c>
      <c r="K31" s="47">
        <v>1029.798369781586</v>
      </c>
      <c r="L31" s="68">
        <v>34.744990538004814</v>
      </c>
      <c r="M31" s="48">
        <v>818.57153191514521</v>
      </c>
      <c r="N31" s="68">
        <v>39.217665122585331</v>
      </c>
      <c r="O31" s="47">
        <v>1320.4683320540823</v>
      </c>
      <c r="P31" s="68">
        <v>30.381955428516367</v>
      </c>
      <c r="Q31" s="18" t="s">
        <v>340</v>
      </c>
      <c r="R31" s="59" t="s">
        <v>340</v>
      </c>
      <c r="S31" s="48">
        <v>711.05989006828099</v>
      </c>
      <c r="T31" s="68">
        <v>46.499499113702988</v>
      </c>
      <c r="U31" s="18" t="s">
        <v>340</v>
      </c>
      <c r="V31" s="59" t="s">
        <v>340</v>
      </c>
      <c r="W31" s="18">
        <v>3852.7143949151655</v>
      </c>
      <c r="X31" s="59">
        <v>15.236313986643577</v>
      </c>
      <c r="Y31" s="48">
        <v>353.0556511815696</v>
      </c>
      <c r="Z31" s="71">
        <v>64.121756796955339</v>
      </c>
    </row>
    <row r="32" spans="1:26" x14ac:dyDescent="0.2">
      <c r="A32" s="112"/>
      <c r="B32" s="28" t="str">
        <f>VLOOKUP("&lt;Zeilentitel_2.17&gt;",Uebersetzungen!$B$3:$E$199,Uebersetzungen!$B$2+1,FALSE)</f>
        <v>St. Gallen</v>
      </c>
      <c r="C32" s="18">
        <v>448491.00000000402</v>
      </c>
      <c r="D32" s="64">
        <v>0.2469421451939022</v>
      </c>
      <c r="E32" s="18">
        <v>293268.8249515713</v>
      </c>
      <c r="F32" s="59">
        <v>1.3289004028242999</v>
      </c>
      <c r="G32" s="18">
        <v>282111.30460894416</v>
      </c>
      <c r="H32" s="59">
        <v>1.3901029323321243</v>
      </c>
      <c r="I32" s="18">
        <v>194175.76825443172</v>
      </c>
      <c r="J32" s="59">
        <v>2.0686445226405148</v>
      </c>
      <c r="K32" s="18">
        <v>28047.132151269343</v>
      </c>
      <c r="L32" s="59">
        <v>6.6976466189110733</v>
      </c>
      <c r="M32" s="18">
        <v>27184.52085598926</v>
      </c>
      <c r="N32" s="59">
        <v>6.8594110241775814</v>
      </c>
      <c r="O32" s="18">
        <v>32703.883347253275</v>
      </c>
      <c r="P32" s="59">
        <v>6.2032295080580528</v>
      </c>
      <c r="Q32" s="18">
        <v>11157.52034262694</v>
      </c>
      <c r="R32" s="59">
        <v>11.728500227833861</v>
      </c>
      <c r="S32" s="18">
        <v>21633.320435174737</v>
      </c>
      <c r="T32" s="59">
        <v>8.2369193659706372</v>
      </c>
      <c r="U32" s="18">
        <v>16312.570177127167</v>
      </c>
      <c r="V32" s="59">
        <v>9.2582306182815213</v>
      </c>
      <c r="W32" s="18">
        <v>106554.65551463954</v>
      </c>
      <c r="X32" s="59">
        <v>2.9780833272980765</v>
      </c>
      <c r="Y32" s="18">
        <v>10721.628921491983</v>
      </c>
      <c r="Z32" s="70">
        <v>11.908975515005965</v>
      </c>
    </row>
    <row r="33" spans="1:26" x14ac:dyDescent="0.2">
      <c r="A33" s="112"/>
      <c r="B33" s="29" t="str">
        <f>VLOOKUP("&lt;Zeilentitel_2.18&gt;",Uebersetzungen!$B$3:$E$199,Uebersetzungen!$B$2+1,FALSE)</f>
        <v>Graubünden</v>
      </c>
      <c r="C33" s="60">
        <v>175976.99999999563</v>
      </c>
      <c r="D33" s="65">
        <v>0.39675788464812689</v>
      </c>
      <c r="E33" s="60">
        <v>112474.73398520272</v>
      </c>
      <c r="F33" s="61">
        <v>2.1856328301696677</v>
      </c>
      <c r="G33" s="60">
        <v>110190.32702338899</v>
      </c>
      <c r="H33" s="61">
        <v>2.2402588065625419</v>
      </c>
      <c r="I33" s="60">
        <v>76352.279586869874</v>
      </c>
      <c r="J33" s="61">
        <v>3.3196938408162882</v>
      </c>
      <c r="K33" s="60">
        <v>10918.113850808113</v>
      </c>
      <c r="L33" s="61">
        <v>10.708425501889462</v>
      </c>
      <c r="M33" s="60">
        <v>10665.876002029281</v>
      </c>
      <c r="N33" s="61">
        <v>10.796561827228803</v>
      </c>
      <c r="O33" s="60">
        <v>12254.05758368173</v>
      </c>
      <c r="P33" s="61">
        <v>9.8864629620964486</v>
      </c>
      <c r="Q33" s="60">
        <v>2284.4069618137946</v>
      </c>
      <c r="R33" s="61">
        <v>25.177421180026492</v>
      </c>
      <c r="S33" s="60">
        <v>7637.9555216869248</v>
      </c>
      <c r="T33" s="61">
        <v>13.317534438374807</v>
      </c>
      <c r="U33" s="60">
        <v>4707.2208458539008</v>
      </c>
      <c r="V33" s="61">
        <v>16.889738278472805</v>
      </c>
      <c r="W33" s="60">
        <v>46489.46843049454</v>
      </c>
      <c r="X33" s="61">
        <v>4.4380017441607507</v>
      </c>
      <c r="Y33" s="60">
        <v>4667.6212167574395</v>
      </c>
      <c r="Z33" s="72">
        <v>17.692917861685114</v>
      </c>
    </row>
    <row r="34" spans="1:26" x14ac:dyDescent="0.2">
      <c r="A34" s="112"/>
      <c r="B34" s="28" t="str">
        <f>VLOOKUP("&lt;Zeilentitel_2.19&gt;",Uebersetzungen!$B$3:$E$199,Uebersetzungen!$B$2+1,FALSE)</f>
        <v>Aargau</v>
      </c>
      <c r="C34" s="18">
        <v>612777.99999999721</v>
      </c>
      <c r="D34" s="64">
        <v>0.15003038036062266</v>
      </c>
      <c r="E34" s="18">
        <v>404077.0839189433</v>
      </c>
      <c r="F34" s="59">
        <v>0.78594011340638081</v>
      </c>
      <c r="G34" s="18">
        <v>386200.71314475447</v>
      </c>
      <c r="H34" s="59">
        <v>0.82788905102096133</v>
      </c>
      <c r="I34" s="18">
        <v>264767.37852765672</v>
      </c>
      <c r="J34" s="59">
        <v>1.2381550274279638</v>
      </c>
      <c r="K34" s="18">
        <v>43056.749952616534</v>
      </c>
      <c r="L34" s="59">
        <v>3.7586258233544529</v>
      </c>
      <c r="M34" s="18">
        <v>38026.942541612865</v>
      </c>
      <c r="N34" s="59">
        <v>4.0259558079977715</v>
      </c>
      <c r="O34" s="18">
        <v>40349.642122867241</v>
      </c>
      <c r="P34" s="59">
        <v>3.91399785895993</v>
      </c>
      <c r="Q34" s="18">
        <v>17876.37077418861</v>
      </c>
      <c r="R34" s="59">
        <v>6.4987863086586124</v>
      </c>
      <c r="S34" s="18">
        <v>29685.126159574756</v>
      </c>
      <c r="T34" s="59">
        <v>4.811953080702339</v>
      </c>
      <c r="U34" s="18">
        <v>20369.962604835542</v>
      </c>
      <c r="V34" s="59">
        <v>5.7968708478150175</v>
      </c>
      <c r="W34" s="18">
        <v>143279.46401489567</v>
      </c>
      <c r="X34" s="59">
        <v>1.8026476833929814</v>
      </c>
      <c r="Y34" s="18">
        <v>15366.363301749227</v>
      </c>
      <c r="Z34" s="70">
        <v>6.9141548379413624</v>
      </c>
    </row>
    <row r="35" spans="1:26" ht="12.75" customHeight="1" x14ac:dyDescent="0.2">
      <c r="A35" s="112"/>
      <c r="B35" s="28" t="str">
        <f>VLOOKUP("&lt;Zeilentitel_2.20&gt;",Uebersetzungen!$B$3:$E$199,Uebersetzungen!$B$2+1,FALSE)</f>
        <v>Thurgau</v>
      </c>
      <c r="C35" s="18">
        <v>249376.00000000049</v>
      </c>
      <c r="D35" s="64">
        <v>0.355279432278924</v>
      </c>
      <c r="E35" s="18">
        <v>164182.63014810416</v>
      </c>
      <c r="F35" s="59">
        <v>1.8031958174210523</v>
      </c>
      <c r="G35" s="18">
        <v>158185.06192524882</v>
      </c>
      <c r="H35" s="59">
        <v>1.8818505962730512</v>
      </c>
      <c r="I35" s="18">
        <v>107280.01812772233</v>
      </c>
      <c r="J35" s="59">
        <v>2.8412916098877989</v>
      </c>
      <c r="K35" s="18">
        <v>17861.81802517036</v>
      </c>
      <c r="L35" s="59">
        <v>8.4998470024014878</v>
      </c>
      <c r="M35" s="18">
        <v>16385.522334857098</v>
      </c>
      <c r="N35" s="59">
        <v>8.8069862660257812</v>
      </c>
      <c r="O35" s="18">
        <v>16657.70343749912</v>
      </c>
      <c r="P35" s="59">
        <v>8.7812743384062664</v>
      </c>
      <c r="Q35" s="18">
        <v>5997.5682228554069</v>
      </c>
      <c r="R35" s="59">
        <v>16.225717598001737</v>
      </c>
      <c r="S35" s="18">
        <v>10900.304107577138</v>
      </c>
      <c r="T35" s="59">
        <v>11.448343573922021</v>
      </c>
      <c r="U35" s="18">
        <v>8372.081786755205</v>
      </c>
      <c r="V35" s="59">
        <v>13.040215657024097</v>
      </c>
      <c r="W35" s="18">
        <v>59517.632451919715</v>
      </c>
      <c r="X35" s="59">
        <v>3.9606396804901718</v>
      </c>
      <c r="Y35" s="18">
        <v>6403.3515056440992</v>
      </c>
      <c r="Z35" s="70">
        <v>15.756278845402658</v>
      </c>
    </row>
    <row r="36" spans="1:26" x14ac:dyDescent="0.2">
      <c r="A36" s="112"/>
      <c r="B36" s="28" t="str">
        <f>VLOOKUP("&lt;Zeilentitel_2.21&gt;",Uebersetzungen!$B$3:$E$199,Uebersetzungen!$B$2+1,FALSE)</f>
        <v>Ticino</v>
      </c>
      <c r="C36" s="18">
        <v>308002.00000000111</v>
      </c>
      <c r="D36" s="64">
        <v>0.20641093920650769</v>
      </c>
      <c r="E36" s="18">
        <v>168888.03806970338</v>
      </c>
      <c r="F36" s="59">
        <v>1.3907472518142616</v>
      </c>
      <c r="G36" s="18">
        <v>157083.57479431535</v>
      </c>
      <c r="H36" s="59">
        <v>1.4834819732887141</v>
      </c>
      <c r="I36" s="18">
        <v>110147.9270083509</v>
      </c>
      <c r="J36" s="59">
        <v>2.0302245245867114</v>
      </c>
      <c r="K36" s="18">
        <v>15756.152847276031</v>
      </c>
      <c r="L36" s="59">
        <v>6.3524152554824376</v>
      </c>
      <c r="M36" s="18">
        <v>16481.627195226389</v>
      </c>
      <c r="N36" s="59">
        <v>6.2200719540505096</v>
      </c>
      <c r="O36" s="18">
        <v>14697.867743461791</v>
      </c>
      <c r="P36" s="59">
        <v>6.6346617183794772</v>
      </c>
      <c r="Q36" s="18">
        <v>11804.463275387981</v>
      </c>
      <c r="R36" s="59">
        <v>8.014852085462211</v>
      </c>
      <c r="S36" s="18">
        <v>24564.92842275049</v>
      </c>
      <c r="T36" s="59">
        <v>5.43035214057715</v>
      </c>
      <c r="U36" s="18">
        <v>14798.767023257533</v>
      </c>
      <c r="V36" s="59">
        <v>6.7006206623394062</v>
      </c>
      <c r="W36" s="18">
        <v>90073.632110660983</v>
      </c>
      <c r="X36" s="59">
        <v>2.192602764200922</v>
      </c>
      <c r="Y36" s="18">
        <v>9676.6343736290291</v>
      </c>
      <c r="Z36" s="70">
        <v>8.7672483254842959</v>
      </c>
    </row>
    <row r="37" spans="1:26" x14ac:dyDescent="0.2">
      <c r="A37" s="112"/>
      <c r="B37" s="28" t="str">
        <f>VLOOKUP("&lt;Zeilentitel_2.22&gt;",Uebersetzungen!$B$3:$E$199,Uebersetzungen!$B$2+1,FALSE)</f>
        <v>Vaud</v>
      </c>
      <c r="C37" s="18">
        <v>699661.99999999523</v>
      </c>
      <c r="D37" s="64">
        <v>0.15227178980422565</v>
      </c>
      <c r="E37" s="18">
        <v>437394.3522042582</v>
      </c>
      <c r="F37" s="59">
        <v>0.79465097708926391</v>
      </c>
      <c r="G37" s="18">
        <v>402568.49537584372</v>
      </c>
      <c r="H37" s="59">
        <v>0.86815690476675766</v>
      </c>
      <c r="I37" s="18">
        <v>278575.43862091878</v>
      </c>
      <c r="J37" s="59">
        <v>1.2399996301638505</v>
      </c>
      <c r="K37" s="18">
        <v>56162.777076293743</v>
      </c>
      <c r="L37" s="59">
        <v>3.312568807920083</v>
      </c>
      <c r="M37" s="18">
        <v>35340.193810970115</v>
      </c>
      <c r="N37" s="59">
        <v>4.2994968139037759</v>
      </c>
      <c r="O37" s="18">
        <v>32490.085867661139</v>
      </c>
      <c r="P37" s="59">
        <v>4.5336174649002912</v>
      </c>
      <c r="Q37" s="18">
        <v>34825.856828414326</v>
      </c>
      <c r="R37" s="59">
        <v>4.6303871408777635</v>
      </c>
      <c r="S37" s="18">
        <v>59139.190780637342</v>
      </c>
      <c r="T37" s="59">
        <v>3.5055106900195536</v>
      </c>
      <c r="U37" s="18">
        <v>20840.376749680254</v>
      </c>
      <c r="V37" s="59">
        <v>5.7991557450357023</v>
      </c>
      <c r="W37" s="18">
        <v>158446.00538501961</v>
      </c>
      <c r="X37" s="59">
        <v>1.7275541596385284</v>
      </c>
      <c r="Y37" s="18">
        <v>23842.074880400025</v>
      </c>
      <c r="Z37" s="70">
        <v>5.5822833069137543</v>
      </c>
    </row>
    <row r="38" spans="1:26" x14ac:dyDescent="0.2">
      <c r="A38" s="112"/>
      <c r="B38" s="28" t="str">
        <f>VLOOKUP("&lt;Zeilentitel_2.23&gt;",Uebersetzungen!$B$3:$E$199,Uebersetzungen!$B$2+1,FALSE)</f>
        <v>Wallis</v>
      </c>
      <c r="C38" s="18">
        <v>311880.99999999872</v>
      </c>
      <c r="D38" s="64">
        <v>0.33206874514858969</v>
      </c>
      <c r="E38" s="18">
        <v>193148.32989660159</v>
      </c>
      <c r="F38" s="59">
        <v>1.7564575923383743</v>
      </c>
      <c r="G38" s="18">
        <v>182575.82343166065</v>
      </c>
      <c r="H38" s="59">
        <v>1.8615235723574339</v>
      </c>
      <c r="I38" s="18">
        <v>124706.36774586746</v>
      </c>
      <c r="J38" s="59">
        <v>2.7022662016596066</v>
      </c>
      <c r="K38" s="18">
        <v>23732.373840753498</v>
      </c>
      <c r="L38" s="59">
        <v>7.4078014649586121</v>
      </c>
      <c r="M38" s="18">
        <v>17857.190556140184</v>
      </c>
      <c r="N38" s="59">
        <v>8.5917757782208337</v>
      </c>
      <c r="O38" s="18">
        <v>16279.891288899244</v>
      </c>
      <c r="P38" s="59">
        <v>9.1057688138736896</v>
      </c>
      <c r="Q38" s="18">
        <v>10572.506464941038</v>
      </c>
      <c r="R38" s="59">
        <v>12.284153565967955</v>
      </c>
      <c r="S38" s="18">
        <v>19546.665951608258</v>
      </c>
      <c r="T38" s="59">
        <v>8.8489868467076391</v>
      </c>
      <c r="U38" s="18">
        <v>8390.3597533438951</v>
      </c>
      <c r="V38" s="59">
        <v>12.924992240065867</v>
      </c>
      <c r="W38" s="18">
        <v>82758.358697657473</v>
      </c>
      <c r="X38" s="59">
        <v>3.3482064023744522</v>
      </c>
      <c r="Y38" s="18">
        <v>8037.2857007876819</v>
      </c>
      <c r="Z38" s="70">
        <v>13.990148997990548</v>
      </c>
    </row>
    <row r="39" spans="1:26" x14ac:dyDescent="0.2">
      <c r="A39" s="112"/>
      <c r="B39" s="28" t="str">
        <f>VLOOKUP("&lt;Zeilentitel_2.24&gt;",Uebersetzungen!$B$3:$E$199,Uebersetzungen!$B$2+1,FALSE)</f>
        <v>Neuchâtel</v>
      </c>
      <c r="C39" s="18">
        <v>150142.00000000116</v>
      </c>
      <c r="D39" s="64">
        <v>0.28056232088356026</v>
      </c>
      <c r="E39" s="18">
        <v>92085.733977179596</v>
      </c>
      <c r="F39" s="59">
        <v>1.730688493787889</v>
      </c>
      <c r="G39" s="18">
        <v>84806.484587307466</v>
      </c>
      <c r="H39" s="59">
        <v>1.8885287448416384</v>
      </c>
      <c r="I39" s="18">
        <v>57303.086154564284</v>
      </c>
      <c r="J39" s="59">
        <v>2.7480544763884445</v>
      </c>
      <c r="K39" s="18">
        <v>12448.705992861658</v>
      </c>
      <c r="L39" s="59">
        <v>6.8847126291835741</v>
      </c>
      <c r="M39" s="18">
        <v>8253.8133821553874</v>
      </c>
      <c r="N39" s="59">
        <v>8.7343909787007501</v>
      </c>
      <c r="O39" s="18">
        <v>6800.8790577261534</v>
      </c>
      <c r="P39" s="59">
        <v>9.7525266816725669</v>
      </c>
      <c r="Q39" s="18">
        <v>7279.2493898720841</v>
      </c>
      <c r="R39" s="59">
        <v>9.9126090256797834</v>
      </c>
      <c r="S39" s="18">
        <v>10843.202832530467</v>
      </c>
      <c r="T39" s="59">
        <v>8.0593290614001258</v>
      </c>
      <c r="U39" s="18">
        <v>3520.8664100633277</v>
      </c>
      <c r="V39" s="59">
        <v>13.760670229676307</v>
      </c>
      <c r="W39" s="18">
        <v>38395.294935920923</v>
      </c>
      <c r="X39" s="59">
        <v>3.4414952300135253</v>
      </c>
      <c r="Y39" s="18">
        <v>5296.9018443068571</v>
      </c>
      <c r="Z39" s="70">
        <v>11.766964500591204</v>
      </c>
    </row>
    <row r="40" spans="1:26" x14ac:dyDescent="0.2">
      <c r="A40" s="112"/>
      <c r="B40" s="28" t="str">
        <f>VLOOKUP("&lt;Zeilentitel_2.25&gt;",Uebersetzungen!$B$3:$E$199,Uebersetzungen!$B$2+1,FALSE)</f>
        <v>Genève</v>
      </c>
      <c r="C40" s="18">
        <v>405611.00000000437</v>
      </c>
      <c r="D40" s="64">
        <v>0.25334185814379129</v>
      </c>
      <c r="E40" s="18">
        <v>243265.68507738149</v>
      </c>
      <c r="F40" s="59">
        <v>1.1637576538723877</v>
      </c>
      <c r="G40" s="18">
        <v>216158.81989307297</v>
      </c>
      <c r="H40" s="59">
        <v>1.3005203992152201</v>
      </c>
      <c r="I40" s="18">
        <v>151283.85704818933</v>
      </c>
      <c r="J40" s="59">
        <v>1.788269128915871</v>
      </c>
      <c r="K40" s="18">
        <v>30117.177068495024</v>
      </c>
      <c r="L40" s="59">
        <v>4.6822982943368929</v>
      </c>
      <c r="M40" s="18">
        <v>17993.604737264301</v>
      </c>
      <c r="N40" s="59">
        <v>6.3729557209982683</v>
      </c>
      <c r="O40" s="18">
        <v>16764.181039124407</v>
      </c>
      <c r="P40" s="59">
        <v>6.7606139785707828</v>
      </c>
      <c r="Q40" s="18">
        <v>27106.865184308568</v>
      </c>
      <c r="R40" s="59">
        <v>5.5041238658332956</v>
      </c>
      <c r="S40" s="18">
        <v>38975.0634757507</v>
      </c>
      <c r="T40" s="59">
        <v>4.3729895115197923</v>
      </c>
      <c r="U40" s="18">
        <v>12672.794601682956</v>
      </c>
      <c r="V40" s="59">
        <v>7.8751501850266239</v>
      </c>
      <c r="W40" s="18">
        <v>92691.445361194186</v>
      </c>
      <c r="X40" s="59">
        <v>2.3308272422796437</v>
      </c>
      <c r="Y40" s="18">
        <v>18006.011483994876</v>
      </c>
      <c r="Z40" s="70">
        <v>6.7290025929424644</v>
      </c>
    </row>
    <row r="41" spans="1:26" ht="13.5" thickBot="1" x14ac:dyDescent="0.25">
      <c r="A41" s="113"/>
      <c r="B41" s="44" t="str">
        <f>VLOOKUP("&lt;Zeilentitel_2.26&gt;",Uebersetzungen!$B$3:$E$199,Uebersetzungen!$B$2+1,FALSE)</f>
        <v>Jura</v>
      </c>
      <c r="C41" s="62">
        <v>62464.999999999593</v>
      </c>
      <c r="D41" s="66">
        <v>0.56737325987104503</v>
      </c>
      <c r="E41" s="62">
        <v>35667.238976284614</v>
      </c>
      <c r="F41" s="63">
        <v>4.0386670200055814</v>
      </c>
      <c r="G41" s="62">
        <v>33258.986674842155</v>
      </c>
      <c r="H41" s="63">
        <v>4.3272851465043933</v>
      </c>
      <c r="I41" s="62">
        <v>20862.750710279059</v>
      </c>
      <c r="J41" s="63">
        <v>6.5785959805086494</v>
      </c>
      <c r="K41" s="62">
        <v>5044.9649305892981</v>
      </c>
      <c r="L41" s="63">
        <v>15.217804760299691</v>
      </c>
      <c r="M41" s="62">
        <v>4180.6261295426812</v>
      </c>
      <c r="N41" s="63">
        <v>16.657014048546852</v>
      </c>
      <c r="O41" s="62">
        <v>3170.6449044311121</v>
      </c>
      <c r="P41" s="63">
        <v>19.779240901961284</v>
      </c>
      <c r="Q41" s="62">
        <v>2408.2523014424737</v>
      </c>
      <c r="R41" s="63">
        <v>24.05110667636103</v>
      </c>
      <c r="S41" s="62">
        <v>4560.8976649602901</v>
      </c>
      <c r="T41" s="63">
        <v>17.18423598719065</v>
      </c>
      <c r="U41" s="49">
        <v>1551.4697833135101</v>
      </c>
      <c r="V41" s="69">
        <v>28.569790213748192</v>
      </c>
      <c r="W41" s="62">
        <v>18418.394904494729</v>
      </c>
      <c r="X41" s="63">
        <v>6.8888844942223972</v>
      </c>
      <c r="Y41" s="62">
        <v>2266.9986709464433</v>
      </c>
      <c r="Z41" s="73">
        <v>24.791245067729196</v>
      </c>
    </row>
    <row r="42" spans="1:26" x14ac:dyDescent="0.2">
      <c r="A42" s="17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26" x14ac:dyDescent="0.2">
      <c r="A43" s="15" t="str">
        <f>VLOOKUP("&lt;Legende_1&gt;",Uebersetzungen!$B$3:$E$199,Uebersetzungen!$B$2+1,FALSE)</f>
        <v>(): Extrapolation aufgrund von 49 oder weniger Beobachtungen. Die Resultate sind mit grosser Vorsicht zu interpretieren.</v>
      </c>
    </row>
    <row r="44" spans="1:26" x14ac:dyDescent="0.2">
      <c r="A44" s="15" t="str">
        <f>VLOOKUP("&lt;Legende_2&gt;",Uebersetzungen!$B$3:$E$199,Uebersetzungen!$B$2+1,FALSE)</f>
        <v>X: Extrapolation aufgrund von 4 oder weniger Beobachtungen. Die Resultate werden aus Gründen des Datenschutzes nicht publiziert.</v>
      </c>
    </row>
    <row r="45" spans="1:26" x14ac:dyDescent="0.2">
      <c r="A45" s="15" t="str">
        <f>VLOOKUP("&lt;Legende_3&gt;",Uebersetzungen!$B$3:$E$199,Uebersetzungen!$B$2+1,FALSE)</f>
        <v>Die Grundgesamtheit der Strukturerhebung enthält alle Personen der ständigen Wohnbevölkerung ab vollendetem 15. Altersjahr, die in Privathaushalten leben.</v>
      </c>
    </row>
    <row r="46" spans="1:26" x14ac:dyDescent="0.2">
      <c r="A46" s="15" t="str">
        <f>VLOOKUP("&lt;Legende_4&gt;",Uebersetzungen!$B$3:$E$199,Uebersetzungen!$B$2+1,FALSE)</f>
        <v>Aus der Grundgesamtheit ausgeschlossen wurden neben den Personen, die in Kollektivhaushalten leben, auch Diplomaten, internationale Funktionäre und deren Angehörige.</v>
      </c>
    </row>
    <row r="48" spans="1:26" x14ac:dyDescent="0.2">
      <c r="A48" s="1" t="str">
        <f>VLOOKUP("&lt;quelle_1&gt;",Uebersetzungen!$B$3:$E$199,Uebersetzungen!$B$2+1,FALSE)</f>
        <v>Quelle: BFS (Strukturerhebung)</v>
      </c>
    </row>
    <row r="49" spans="1:1" x14ac:dyDescent="0.2">
      <c r="A49" s="1" t="str">
        <f>VLOOKUP("&lt;aktualisierung&gt;",Uebersetzungen!$B$3:$E$199,Uebersetzungen!$B$2+1,FALSE)</f>
        <v>Letztmals aktualisiert am: 29.01.2026</v>
      </c>
    </row>
  </sheetData>
  <sheetProtection sheet="1" objects="1" scenarios="1"/>
  <mergeCells count="16">
    <mergeCell ref="A7:B7"/>
    <mergeCell ref="K13:L13"/>
    <mergeCell ref="M13:N13"/>
    <mergeCell ref="O13:P13"/>
    <mergeCell ref="C13:D13"/>
    <mergeCell ref="E13:F13"/>
    <mergeCell ref="G13:H13"/>
    <mergeCell ref="I13:J13"/>
    <mergeCell ref="W13:X13"/>
    <mergeCell ref="Y13:Z13"/>
    <mergeCell ref="C12:Z12"/>
    <mergeCell ref="A16:A41"/>
    <mergeCell ref="U13:V13"/>
    <mergeCell ref="A15:B15"/>
    <mergeCell ref="Q13:R13"/>
    <mergeCell ref="S13:T13"/>
  </mergeCells>
  <pageMargins left="0.7" right="0.7" top="0.78740157499999996" bottom="0.78740157499999996" header="0.3" footer="0.3"/>
  <pageSetup paperSize="9" orientation="portrait" r:id="rId1"/>
  <ignoredErrors>
    <ignoredError sqref="D14:G14 H14:I14 J14:K14 L14:N14 O14:Q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428625</xdr:colOff>
                    <xdr:row>1</xdr:row>
                    <xdr:rowOff>123825</xdr:rowOff>
                  </from>
                  <to>
                    <xdr:col>4</xdr:col>
                    <xdr:colOff>752475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428625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428625</xdr:colOff>
                    <xdr:row>3</xdr:row>
                    <xdr:rowOff>76200</xdr:rowOff>
                  </from>
                  <to>
                    <xdr:col>4</xdr:col>
                    <xdr:colOff>752475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3"/>
  <sheetViews>
    <sheetView workbookViewId="0"/>
  </sheetViews>
  <sheetFormatPr baseColWidth="10" defaultColWidth="11.42578125" defaultRowHeight="12.75" x14ac:dyDescent="0.2"/>
  <cols>
    <col min="1" max="2" width="32.28515625" style="1" customWidth="1"/>
    <col min="3" max="26" width="12" style="1" customWidth="1"/>
    <col min="27" max="16384" width="11.42578125" style="1"/>
  </cols>
  <sheetData>
    <row r="1" spans="1:26" s="2" customFormat="1" x14ac:dyDescent="0.2"/>
    <row r="2" spans="1:26" s="2" customFormat="1" ht="15.75" x14ac:dyDescent="0.25">
      <c r="B2" s="3"/>
      <c r="C2" s="1"/>
      <c r="D2" s="1"/>
    </row>
    <row r="3" spans="1:26" s="2" customFormat="1" ht="15.75" x14ac:dyDescent="0.25">
      <c r="B3" s="3"/>
      <c r="C3" s="1"/>
      <c r="D3" s="1"/>
    </row>
    <row r="4" spans="1:26" s="2" customFormat="1" ht="15.75" x14ac:dyDescent="0.25">
      <c r="B4" s="3"/>
      <c r="C4" s="1"/>
      <c r="D4" s="1"/>
    </row>
    <row r="5" spans="1:26" s="2" customFormat="1" x14ac:dyDescent="0.2"/>
    <row r="6" spans="1:26" s="2" customFormat="1" x14ac:dyDescent="0.2"/>
    <row r="7" spans="1:26" s="2" customFormat="1" ht="15.75" customHeight="1" x14ac:dyDescent="0.2">
      <c r="A7" s="45" t="str">
        <f>VLOOKUP("&lt;Fachbereich&gt;",Uebersetzungen!$B$3:$E$200,Uebersetzungen!$B$2+1,FALSE)</f>
        <v>Daten &amp; Statistik</v>
      </c>
      <c r="B7" s="45"/>
      <c r="C7" s="4"/>
      <c r="D7" s="4"/>
      <c r="E7" s="4"/>
      <c r="F7" s="4"/>
      <c r="G7" s="4"/>
      <c r="H7" s="4"/>
    </row>
    <row r="8" spans="1:26" s="2" customFormat="1" x14ac:dyDescent="0.2"/>
    <row r="9" spans="1:26" s="8" customFormat="1" ht="18" x14ac:dyDescent="0.2">
      <c r="A9" s="19" t="str">
        <f>VLOOKUP("&lt;T2Titel&gt;",Uebersetzungen!$B$3:$E$200,Uebersetzungen!$B$2+1,FALSE)</f>
        <v>Arbeitsmarktstatus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6" s="8" customFormat="1" ht="15" x14ac:dyDescent="0.2">
      <c r="A10" s="20" t="str">
        <f>VLOOKUP("&lt;UTitel&gt;",Uebersetzungen!$B$3:$E$200,Uebersetzungen!$B$2+1,FALSE)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6" s="8" customFormat="1" ht="15.75" thickBot="1" x14ac:dyDescent="0.25">
      <c r="A11" s="20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6" ht="18" x14ac:dyDescent="0.25">
      <c r="C12" s="119">
        <v>2024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1"/>
    </row>
    <row r="13" spans="1:26" ht="39" customHeight="1" x14ac:dyDescent="0.2">
      <c r="A13" s="10"/>
      <c r="B13" s="16"/>
      <c r="C13" s="122" t="str">
        <f>VLOOKUP("&lt;SpaltenTitel_1&gt;",Uebersetzungen!$B$3:$E$200,Uebersetzungen!$B$2+1,FALSE)</f>
        <v>Total</v>
      </c>
      <c r="D13" s="123"/>
      <c r="E13" s="105" t="str">
        <f>VLOOKUP("&lt;SpaltenTitel_2&gt;",Uebersetzungen!$B$3:$E$200,Uebersetzungen!$B$2+1,FALSE)</f>
        <v>Erwerbspersonen</v>
      </c>
      <c r="F13" s="106"/>
      <c r="G13" s="105" t="str">
        <f>VLOOKUP("&lt;SpaltenTitel_3&gt;",Uebersetzungen!$B$3:$E$200,Uebersetzungen!$B$2+1,FALSE)</f>
        <v>Erwerbstätige</v>
      </c>
      <c r="H13" s="106"/>
      <c r="I13" s="105" t="str">
        <f>VLOOKUP("&lt;SpaltenTitel_4&gt;",Uebersetzungen!$B$3:$E$200,Uebersetzungen!$B$2+1,FALSE)</f>
        <v>Vollzeiterwerbstätige (90-100%)</v>
      </c>
      <c r="J13" s="106"/>
      <c r="K13" s="105" t="str">
        <f>VLOOKUP("&lt;SpaltenTitel_5&gt;",Uebersetzungen!$B$3:$E$200,Uebersetzungen!$B$2+1,FALSE)</f>
        <v>Teilzeiterwerbstätige I (70-89%)</v>
      </c>
      <c r="L13" s="106"/>
      <c r="M13" s="105" t="str">
        <f>VLOOKUP("&lt;SpaltenTitel_6&gt;",Uebersetzungen!$B$3:$E$200,Uebersetzungen!$B$2+1,FALSE)</f>
        <v>Teilzeiterwerbstätige II (50-69%)</v>
      </c>
      <c r="N13" s="106"/>
      <c r="O13" s="105" t="str">
        <f>VLOOKUP("&lt;SpaltenTitel_7&gt;",Uebersetzungen!$B$3:$E$200,Uebersetzungen!$B$2+1,FALSE)</f>
        <v>Teilzeiterwerbstätige III (weniger als 50%)</v>
      </c>
      <c r="P13" s="106"/>
      <c r="Q13" s="105" t="str">
        <f>VLOOKUP("&lt;SpaltenTitel_8&gt;",Uebersetzungen!$B$3:$E$200,Uebersetzungen!$B$2+1,FALSE)</f>
        <v>Erwerbslose</v>
      </c>
      <c r="R13" s="106"/>
      <c r="S13" s="105" t="str">
        <f>VLOOKUP("&lt;SpaltenTitel_9&gt;",Uebersetzungen!$B$3:$E$200,Uebersetzungen!$B$2+1,FALSE)</f>
        <v>Nichterwerbspersonen in Ausbildung</v>
      </c>
      <c r="T13" s="106"/>
      <c r="U13" s="105" t="str">
        <f>VLOOKUP("&lt;SpaltenTitel_10&gt;",Uebersetzungen!$B$3:$E$200,Uebersetzungen!$B$2+1,FALSE)</f>
        <v>Hausfrauen/Hausmänner</v>
      </c>
      <c r="V13" s="106"/>
      <c r="W13" s="105" t="str">
        <f>VLOOKUP("&lt;SpaltenTitel_11&gt;",Uebersetzungen!$B$3:$E$200,Uebersetzungen!$B$2+1,FALSE)</f>
        <v>Rentner/innen (AHV, IV)</v>
      </c>
      <c r="X13" s="106"/>
      <c r="Y13" s="105" t="str">
        <f>VLOOKUP("&lt;SpaltenTitel_12&gt;",Uebersetzungen!$B$3:$E$200,Uebersetzungen!$B$2+1,FALSE)</f>
        <v>Andere Nichterwerbspersonen</v>
      </c>
      <c r="Z13" s="107"/>
    </row>
    <row r="14" spans="1:26" ht="39.75" customHeight="1" thickBot="1" x14ac:dyDescent="0.25">
      <c r="A14" s="21"/>
      <c r="B14" s="22"/>
      <c r="C14" s="23" t="str">
        <f>VLOOKUP("&lt;SpaltenTitel_1.1&gt;",Uebersetzungen!$B$3:$E$200,Uebersetzungen!$B$2+1,FALSE)</f>
        <v>Anzahl Personen</v>
      </c>
      <c r="D14" s="24" t="str">
        <f>VLOOKUP("&lt;SpaltenTitel_1.2&gt;",Uebersetzungen!$B$3:$E$200,Uebersetzungen!$B$2+1,FALSE)</f>
        <v>Vertrauens- intervall:          ± (in %)</v>
      </c>
      <c r="E14" s="86" t="str">
        <f>VLOOKUP("&lt;SpaltenTitel_1.1&gt;",Uebersetzungen!$B$3:$E$200,Uebersetzungen!$B$2+1,FALSE)</f>
        <v>Anzahl Personen</v>
      </c>
      <c r="F14" s="24" t="str">
        <f>VLOOKUP("&lt;SpaltenTitel_1.2&gt;",Uebersetzungen!$B$3:$E$200,Uebersetzungen!$B$2+1,FALSE)</f>
        <v>Vertrauens- intervall:          ± (in %)</v>
      </c>
      <c r="G14" s="86" t="str">
        <f>VLOOKUP("&lt;SpaltenTitel_1.1&gt;",Uebersetzungen!$B$3:$E$200,Uebersetzungen!$B$2+1,FALSE)</f>
        <v>Anzahl Personen</v>
      </c>
      <c r="H14" s="24" t="str">
        <f>VLOOKUP("&lt;SpaltenTitel_1.2&gt;",Uebersetzungen!$B$3:$E$200,Uebersetzungen!$B$2+1,FALSE)</f>
        <v>Vertrauens- intervall:          ± (in %)</v>
      </c>
      <c r="I14" s="86" t="str">
        <f>VLOOKUP("&lt;SpaltenTitel_1.1&gt;",Uebersetzungen!$B$3:$E$200,Uebersetzungen!$B$2+1,FALSE)</f>
        <v>Anzahl Personen</v>
      </c>
      <c r="J14" s="24" t="str">
        <f>VLOOKUP("&lt;SpaltenTitel_1.2&gt;",Uebersetzungen!$B$3:$E$200,Uebersetzungen!$B$2+1,FALSE)</f>
        <v>Vertrauens- intervall:          ± (in %)</v>
      </c>
      <c r="K14" s="86" t="str">
        <f>VLOOKUP("&lt;SpaltenTitel_1.1&gt;",Uebersetzungen!$B$3:$E$200,Uebersetzungen!$B$2+1,FALSE)</f>
        <v>Anzahl Personen</v>
      </c>
      <c r="L14" s="24" t="str">
        <f>VLOOKUP("&lt;SpaltenTitel_1.2&gt;",Uebersetzungen!$B$3:$E$200,Uebersetzungen!$B$2+1,FALSE)</f>
        <v>Vertrauens- intervall:          ± (in %)</v>
      </c>
      <c r="M14" s="86" t="str">
        <f>VLOOKUP("&lt;SpaltenTitel_1.1&gt;",Uebersetzungen!$B$3:$E$200,Uebersetzungen!$B$2+1,FALSE)</f>
        <v>Anzahl Personen</v>
      </c>
      <c r="N14" s="24" t="str">
        <f>VLOOKUP("&lt;SpaltenTitel_1.2&gt;",Uebersetzungen!$B$3:$E$200,Uebersetzungen!$B$2+1,FALSE)</f>
        <v>Vertrauens- intervall:          ± (in %)</v>
      </c>
      <c r="O14" s="86" t="str">
        <f>VLOOKUP("&lt;SpaltenTitel_1.1&gt;",Uebersetzungen!$B$3:$E$200,Uebersetzungen!$B$2+1,FALSE)</f>
        <v>Anzahl Personen</v>
      </c>
      <c r="P14" s="24" t="str">
        <f>VLOOKUP("&lt;SpaltenTitel_1.2&gt;",Uebersetzungen!$B$3:$E$200,Uebersetzungen!$B$2+1,FALSE)</f>
        <v>Vertrauens- intervall:          ± (in %)</v>
      </c>
      <c r="Q14" s="86" t="str">
        <f>VLOOKUP("&lt;SpaltenTitel_1.1&gt;",Uebersetzungen!$B$3:$E$200,Uebersetzungen!$B$2+1,FALSE)</f>
        <v>Anzahl Personen</v>
      </c>
      <c r="R14" s="24" t="str">
        <f>VLOOKUP("&lt;SpaltenTitel_1.2&gt;",Uebersetzungen!$B$3:$E$200,Uebersetzungen!$B$2+1,FALSE)</f>
        <v>Vertrauens- intervall:          ± (in %)</v>
      </c>
      <c r="S14" s="86" t="str">
        <f>VLOOKUP("&lt;SpaltenTitel_1.1&gt;",Uebersetzungen!$B$3:$E$200,Uebersetzungen!$B$2+1,FALSE)</f>
        <v>Anzahl Personen</v>
      </c>
      <c r="T14" s="24" t="str">
        <f>VLOOKUP("&lt;SpaltenTitel_1.2&gt;",Uebersetzungen!$B$3:$E$200,Uebersetzungen!$B$2+1,FALSE)</f>
        <v>Vertrauens- intervall:          ± (in %)</v>
      </c>
      <c r="U14" s="86" t="str">
        <f>VLOOKUP("&lt;SpaltenTitel_1.1&gt;",Uebersetzungen!$B$3:$E$200,Uebersetzungen!$B$2+1,FALSE)</f>
        <v>Anzahl Personen</v>
      </c>
      <c r="V14" s="24" t="str">
        <f>VLOOKUP("&lt;SpaltenTitel_1.2&gt;",Uebersetzungen!$B$3:$E$200,Uebersetzungen!$B$2+1,FALSE)</f>
        <v>Vertrauens- intervall:          ± (in %)</v>
      </c>
      <c r="W14" s="91" t="s">
        <v>0</v>
      </c>
      <c r="X14" s="92" t="s">
        <v>1</v>
      </c>
      <c r="Y14" s="91" t="s">
        <v>0</v>
      </c>
      <c r="Z14" s="93" t="s">
        <v>1</v>
      </c>
    </row>
    <row r="15" spans="1:26" x14ac:dyDescent="0.2">
      <c r="A15" s="78" t="str">
        <f>VLOOKUP("&lt;T2Zeilentitel_1&gt;",Uebersetzungen!$B$3:$E$194,Uebersetzungen!$B$2+1,FALSE)</f>
        <v>Total</v>
      </c>
      <c r="B15" s="50"/>
      <c r="C15" s="74">
        <v>175976.99999999563</v>
      </c>
      <c r="D15" s="76">
        <v>0.39675788464812689</v>
      </c>
      <c r="E15" s="74">
        <v>112474.73398520272</v>
      </c>
      <c r="F15" s="76">
        <v>2.1856328301696677</v>
      </c>
      <c r="G15" s="74">
        <v>110190.32702338899</v>
      </c>
      <c r="H15" s="76">
        <v>2.2402588065625419</v>
      </c>
      <c r="I15" s="74">
        <v>76352.279586869874</v>
      </c>
      <c r="J15" s="76">
        <v>3.3196938408162882</v>
      </c>
      <c r="K15" s="74">
        <v>10918.113850808113</v>
      </c>
      <c r="L15" s="76">
        <v>10.708425501889462</v>
      </c>
      <c r="M15" s="74">
        <v>10665.876002029281</v>
      </c>
      <c r="N15" s="76">
        <v>10.796561827228803</v>
      </c>
      <c r="O15" s="74">
        <v>12254.05758368173</v>
      </c>
      <c r="P15" s="76">
        <v>9.8864629620964486</v>
      </c>
      <c r="Q15" s="74">
        <v>2284.4069618137946</v>
      </c>
      <c r="R15" s="76">
        <v>25.177421180026492</v>
      </c>
      <c r="S15" s="74">
        <v>7637.9555216869248</v>
      </c>
      <c r="T15" s="76">
        <v>13.317534438374807</v>
      </c>
      <c r="U15" s="74">
        <v>4707.2208458539008</v>
      </c>
      <c r="V15" s="76">
        <v>16.889738278472805</v>
      </c>
      <c r="W15" s="74">
        <v>46489.46843049454</v>
      </c>
      <c r="X15" s="76">
        <v>4.4380017441607507</v>
      </c>
      <c r="Y15" s="74">
        <v>4667.6212167574395</v>
      </c>
      <c r="Z15" s="77">
        <v>17.692917861685114</v>
      </c>
    </row>
    <row r="16" spans="1:26" x14ac:dyDescent="0.2">
      <c r="A16" s="79" t="str">
        <f>VLOOKUP("&lt;T2Zeilentitel_2&gt;",Uebersetzungen!$B$3:$E$194,Uebersetzungen!$B$2+1,FALSE)</f>
        <v>Geschlecht</v>
      </c>
      <c r="B16" s="51" t="str">
        <f>VLOOKUP("&lt;T2Zeilentitel_2.1&gt;",Uebersetzungen!$B$3:$E$194,Uebersetzungen!$B$2+1,FALSE)</f>
        <v>Männer</v>
      </c>
      <c r="C16" s="83">
        <v>88469.999999996944</v>
      </c>
      <c r="D16" s="59">
        <v>2.8767215425128225</v>
      </c>
      <c r="E16" s="18">
        <v>59955.648932733777</v>
      </c>
      <c r="F16" s="59">
        <v>4.065525488303507</v>
      </c>
      <c r="G16" s="18">
        <v>58597.941680924807</v>
      </c>
      <c r="H16" s="59">
        <v>4.1288726366882589</v>
      </c>
      <c r="I16" s="18">
        <v>51262.189544346722</v>
      </c>
      <c r="J16" s="59">
        <v>4.5620586288272893</v>
      </c>
      <c r="K16" s="18">
        <v>2727.5840956656702</v>
      </c>
      <c r="L16" s="59">
        <v>22.209350534748424</v>
      </c>
      <c r="M16" s="18">
        <v>2039.5000155469613</v>
      </c>
      <c r="N16" s="59">
        <v>25.99303897626395</v>
      </c>
      <c r="O16" s="18">
        <v>2568.6680253654476</v>
      </c>
      <c r="P16" s="59">
        <v>22.474563956623985</v>
      </c>
      <c r="Q16" s="47">
        <v>1357.7072518089792</v>
      </c>
      <c r="R16" s="68">
        <v>33.618614264247157</v>
      </c>
      <c r="S16" s="18">
        <v>4199.6314378764591</v>
      </c>
      <c r="T16" s="59">
        <v>18.367787732682686</v>
      </c>
      <c r="U16" s="48">
        <v>291.75440463547613</v>
      </c>
      <c r="V16" s="68">
        <v>68.514137927396931</v>
      </c>
      <c r="W16" s="18">
        <v>21325.624566811446</v>
      </c>
      <c r="X16" s="59">
        <v>7.1468232074775111</v>
      </c>
      <c r="Y16" s="18">
        <v>2697.340657939782</v>
      </c>
      <c r="Z16" s="70">
        <v>24.040265597510569</v>
      </c>
    </row>
    <row r="17" spans="1:26" x14ac:dyDescent="0.2">
      <c r="A17" s="79"/>
      <c r="B17" s="51" t="str">
        <f>VLOOKUP("&lt;T2Zeilentitel_2.2&gt;",Uebersetzungen!$B$3:$E$194,Uebersetzungen!$B$2+1,FALSE)</f>
        <v>Frauen</v>
      </c>
      <c r="C17" s="83">
        <v>87506.999999998661</v>
      </c>
      <c r="D17" s="59">
        <v>2.7377556760568278</v>
      </c>
      <c r="E17" s="18">
        <v>52519.085052468945</v>
      </c>
      <c r="F17" s="59">
        <v>4.2029304847318283</v>
      </c>
      <c r="G17" s="18">
        <v>51592.385342464178</v>
      </c>
      <c r="H17" s="59">
        <v>4.2555607779821347</v>
      </c>
      <c r="I17" s="18">
        <v>25090.090042523145</v>
      </c>
      <c r="J17" s="59">
        <v>6.7920244148164839</v>
      </c>
      <c r="K17" s="18">
        <v>8190.5297551424428</v>
      </c>
      <c r="L17" s="59">
        <v>12.413902727690088</v>
      </c>
      <c r="M17" s="18">
        <v>8626.3759864823205</v>
      </c>
      <c r="N17" s="59">
        <v>12.000645342107248</v>
      </c>
      <c r="O17" s="18">
        <v>9685.3895583162812</v>
      </c>
      <c r="P17" s="59">
        <v>11.178199805096103</v>
      </c>
      <c r="Q17" s="48">
        <v>926.69971000481519</v>
      </c>
      <c r="R17" s="68">
        <v>38.055558013299787</v>
      </c>
      <c r="S17" s="18">
        <v>3438.3240838104653</v>
      </c>
      <c r="T17" s="59">
        <v>19.758270511783842</v>
      </c>
      <c r="U17" s="18">
        <v>4415.4664412184247</v>
      </c>
      <c r="V17" s="59">
        <v>17.456028559064809</v>
      </c>
      <c r="W17" s="18">
        <v>25163.843863683098</v>
      </c>
      <c r="X17" s="59">
        <v>6.5864028431807409</v>
      </c>
      <c r="Y17" s="18">
        <v>1970.280558817657</v>
      </c>
      <c r="Z17" s="70">
        <v>26.351948930480884</v>
      </c>
    </row>
    <row r="18" spans="1:26" x14ac:dyDescent="0.2">
      <c r="A18" s="80" t="str">
        <f>VLOOKUP("&lt;T2Zeilentitel_3&gt;",Uebersetzungen!$B$3:$E$194,Uebersetzungen!$B$2+1,FALSE)</f>
        <v>Alter</v>
      </c>
      <c r="B18" s="52" t="str">
        <f>VLOOKUP("&lt;T2Zeilentitel_3.1&gt;",Uebersetzungen!$B$3:$E$194,Uebersetzungen!$B$2+1,FALSE)</f>
        <v>15-24</v>
      </c>
      <c r="C18" s="94">
        <v>18707.999999999491</v>
      </c>
      <c r="D18" s="95">
        <v>8.3015949454829361</v>
      </c>
      <c r="E18" s="94">
        <v>10033.278515469086</v>
      </c>
      <c r="F18" s="95">
        <v>11.709916970408008</v>
      </c>
      <c r="G18" s="94">
        <v>9848.5169580781549</v>
      </c>
      <c r="H18" s="95">
        <v>11.830201756179958</v>
      </c>
      <c r="I18" s="94">
        <v>7754.460972608952</v>
      </c>
      <c r="J18" s="95">
        <v>13.435635157360814</v>
      </c>
      <c r="K18" s="96">
        <v>525.42413716903775</v>
      </c>
      <c r="L18" s="97">
        <v>51.899800895365011</v>
      </c>
      <c r="M18" s="96">
        <v>681.16109255491745</v>
      </c>
      <c r="N18" s="97">
        <v>45.755620069636088</v>
      </c>
      <c r="O18" s="96">
        <v>887.47075574524411</v>
      </c>
      <c r="P18" s="97">
        <v>40.195073727247994</v>
      </c>
      <c r="Q18" s="96">
        <v>184.76155739093264</v>
      </c>
      <c r="R18" s="97">
        <v>86.705201971320719</v>
      </c>
      <c r="S18" s="94">
        <v>6919.2132665137915</v>
      </c>
      <c r="T18" s="95">
        <v>13.954008745641143</v>
      </c>
      <c r="U18" s="96">
        <v>185.07162592214823</v>
      </c>
      <c r="V18" s="97">
        <v>87.521559114671845</v>
      </c>
      <c r="W18" s="94" t="s">
        <v>340</v>
      </c>
      <c r="X18" s="95" t="s">
        <v>340</v>
      </c>
      <c r="Y18" s="98">
        <v>1429.4254135880983</v>
      </c>
      <c r="Z18" s="99">
        <v>31.725188062362751</v>
      </c>
    </row>
    <row r="19" spans="1:26" x14ac:dyDescent="0.2">
      <c r="A19" s="79"/>
      <c r="B19" s="51" t="str">
        <f>VLOOKUP("&lt;T2Zeilentitel_3.2&gt;",Uebersetzungen!$B$3:$E$194,Uebersetzungen!$B$2+1,FALSE)</f>
        <v>25-44</v>
      </c>
      <c r="C19" s="18">
        <v>51762.999999998647</v>
      </c>
      <c r="D19" s="59">
        <v>4.5313758844237206</v>
      </c>
      <c r="E19" s="18">
        <v>47372.954880250465</v>
      </c>
      <c r="F19" s="59">
        <v>4.8032964124652979</v>
      </c>
      <c r="G19" s="18">
        <v>46221.52022442688</v>
      </c>
      <c r="H19" s="59">
        <v>4.8751920230804817</v>
      </c>
      <c r="I19" s="18">
        <v>33270.618132108451</v>
      </c>
      <c r="J19" s="59">
        <v>6.1203813671014373</v>
      </c>
      <c r="K19" s="18">
        <v>4215.4623301635629</v>
      </c>
      <c r="L19" s="59">
        <v>17.728210252170655</v>
      </c>
      <c r="M19" s="18">
        <v>4103.4093689828906</v>
      </c>
      <c r="N19" s="59">
        <v>17.701749988703696</v>
      </c>
      <c r="O19" s="18">
        <v>4632.0303931720309</v>
      </c>
      <c r="P19" s="59">
        <v>16.477968454653414</v>
      </c>
      <c r="Q19" s="47">
        <v>1151.4346558236057</v>
      </c>
      <c r="R19" s="68">
        <v>36.90896906409624</v>
      </c>
      <c r="S19" s="48">
        <v>586.43885828662394</v>
      </c>
      <c r="T19" s="68">
        <v>52.217619439434849</v>
      </c>
      <c r="U19" s="18">
        <v>2046.466757682754</v>
      </c>
      <c r="V19" s="59">
        <v>25.613223050277572</v>
      </c>
      <c r="W19" s="48">
        <v>605.72547326745519</v>
      </c>
      <c r="X19" s="68">
        <v>50.15060709525811</v>
      </c>
      <c r="Y19" s="47">
        <v>1151.4140305112692</v>
      </c>
      <c r="Z19" s="71">
        <v>37.673327040749996</v>
      </c>
    </row>
    <row r="20" spans="1:26" x14ac:dyDescent="0.2">
      <c r="A20" s="79"/>
      <c r="B20" s="51" t="str">
        <f>VLOOKUP("&lt;T2Zeilentitel_3.3&gt;",Uebersetzungen!$B$3:$E$194,Uebersetzungen!$B$2+1,FALSE)</f>
        <v>45-64</v>
      </c>
      <c r="C20" s="18">
        <v>59050.999999998647</v>
      </c>
      <c r="D20" s="59">
        <v>3.8862069883361174</v>
      </c>
      <c r="E20" s="18">
        <v>50505.748989549269</v>
      </c>
      <c r="F20" s="59">
        <v>4.3372455493847717</v>
      </c>
      <c r="G20" s="18">
        <v>49557.538240950016</v>
      </c>
      <c r="H20" s="59">
        <v>4.3945601689125731</v>
      </c>
      <c r="I20" s="18">
        <v>34298.594705616102</v>
      </c>
      <c r="J20" s="59">
        <v>5.6123073252521349</v>
      </c>
      <c r="K20" s="18">
        <v>5883.3176155221863</v>
      </c>
      <c r="L20" s="59">
        <v>14.706065774652403</v>
      </c>
      <c r="M20" s="18">
        <v>5428.982224145796</v>
      </c>
      <c r="N20" s="59">
        <v>15.380344923343017</v>
      </c>
      <c r="O20" s="18">
        <v>3946.6436956659718</v>
      </c>
      <c r="P20" s="59">
        <v>17.929631034501874</v>
      </c>
      <c r="Q20" s="48">
        <v>948.21074859925648</v>
      </c>
      <c r="R20" s="68">
        <v>37.549620214685305</v>
      </c>
      <c r="S20" s="18" t="s">
        <v>340</v>
      </c>
      <c r="T20" s="59" t="s">
        <v>340</v>
      </c>
      <c r="U20" s="18">
        <v>2475.6824622489994</v>
      </c>
      <c r="V20" s="59">
        <v>23.554339456473375</v>
      </c>
      <c r="W20" s="18">
        <v>3982.7867755422571</v>
      </c>
      <c r="X20" s="59">
        <v>18.072703541231387</v>
      </c>
      <c r="Y20" s="18">
        <v>2086.781772658072</v>
      </c>
      <c r="Z20" s="70">
        <v>26.196853089104444</v>
      </c>
    </row>
    <row r="21" spans="1:26" x14ac:dyDescent="0.2">
      <c r="A21" s="79"/>
      <c r="B21" s="51" t="str">
        <f>VLOOKUP("&lt;T2Zeilentitel_3.4&gt;",Uebersetzungen!$B$3:$E$194,Uebersetzungen!$B$2+1,FALSE)</f>
        <v>65 und mehr</v>
      </c>
      <c r="C21" s="25">
        <v>46454.999999998785</v>
      </c>
      <c r="D21" s="100">
        <v>4.40915179190395</v>
      </c>
      <c r="E21" s="25">
        <v>4562.7515999338912</v>
      </c>
      <c r="F21" s="100">
        <v>16.184333622379445</v>
      </c>
      <c r="G21" s="25">
        <v>4562.7515999338912</v>
      </c>
      <c r="H21" s="100">
        <v>16.184333622379445</v>
      </c>
      <c r="I21" s="53">
        <v>1028.6057765363985</v>
      </c>
      <c r="J21" s="101">
        <v>34.683415432414748</v>
      </c>
      <c r="K21" s="102">
        <v>293.90976795332642</v>
      </c>
      <c r="L21" s="101">
        <v>64.411039633414561</v>
      </c>
      <c r="M21" s="102">
        <v>452.32331634567674</v>
      </c>
      <c r="N21" s="101">
        <v>51.693859190416958</v>
      </c>
      <c r="O21" s="25">
        <v>2787.9127390984859</v>
      </c>
      <c r="P21" s="100">
        <v>20.803614346827658</v>
      </c>
      <c r="Q21" s="25" t="s">
        <v>340</v>
      </c>
      <c r="R21" s="100" t="s">
        <v>340</v>
      </c>
      <c r="S21" s="25" t="s">
        <v>340</v>
      </c>
      <c r="T21" s="100" t="s">
        <v>340</v>
      </c>
      <c r="U21" s="25" t="s">
        <v>340</v>
      </c>
      <c r="V21" s="100" t="s">
        <v>340</v>
      </c>
      <c r="W21" s="25">
        <v>41759.945003178385</v>
      </c>
      <c r="X21" s="100">
        <v>4.7482307855168644</v>
      </c>
      <c r="Y21" s="25" t="s">
        <v>340</v>
      </c>
      <c r="Z21" s="103" t="s">
        <v>340</v>
      </c>
    </row>
    <row r="22" spans="1:26" x14ac:dyDescent="0.2">
      <c r="A22" s="80" t="str">
        <f>VLOOKUP("&lt;T2Zeilentitel_4&gt;",Uebersetzungen!$B$3:$E$194,Uebersetzungen!$B$2+1,FALSE)</f>
        <v>Staatsangehörigkeit</v>
      </c>
      <c r="B22" s="52" t="str">
        <f>VLOOKUP("&lt;T2Zeilentitel_4.1&gt;",Uebersetzungen!$B$3:$E$194,Uebersetzungen!$B$2+1,FALSE)</f>
        <v>Schweiz</v>
      </c>
      <c r="C22" s="83">
        <v>139479.99999999529</v>
      </c>
      <c r="D22" s="59">
        <v>1.3160876423396133</v>
      </c>
      <c r="E22" s="18">
        <v>84887.74275403205</v>
      </c>
      <c r="F22" s="59">
        <v>2.8147552927349335</v>
      </c>
      <c r="G22" s="18">
        <v>83599.206476964784</v>
      </c>
      <c r="H22" s="59">
        <v>2.853688253859469</v>
      </c>
      <c r="I22" s="18">
        <v>54733.291787433111</v>
      </c>
      <c r="J22" s="59">
        <v>4.0829648018731692</v>
      </c>
      <c r="K22" s="18">
        <v>8699.2545504821992</v>
      </c>
      <c r="L22" s="59">
        <v>11.894377185001398</v>
      </c>
      <c r="M22" s="18">
        <v>8982.6613566316646</v>
      </c>
      <c r="N22" s="59">
        <v>11.703846284175729</v>
      </c>
      <c r="O22" s="18">
        <v>11183.998782417584</v>
      </c>
      <c r="P22" s="59">
        <v>10.323604551655979</v>
      </c>
      <c r="Q22" s="47">
        <v>1288.5362770672559</v>
      </c>
      <c r="R22" s="68">
        <v>33.014994878066432</v>
      </c>
      <c r="S22" s="18">
        <v>6101.6277015187243</v>
      </c>
      <c r="T22" s="59">
        <v>14.32735595039701</v>
      </c>
      <c r="U22" s="18">
        <v>3194.3939373765647</v>
      </c>
      <c r="V22" s="59">
        <v>20.219059730362464</v>
      </c>
      <c r="W22" s="18">
        <v>42373.230832602567</v>
      </c>
      <c r="X22" s="59">
        <v>4.6980397443476329</v>
      </c>
      <c r="Y22" s="18">
        <v>2923.0047744656308</v>
      </c>
      <c r="Z22" s="70">
        <v>21.433792301031634</v>
      </c>
    </row>
    <row r="23" spans="1:26" x14ac:dyDescent="0.2">
      <c r="A23" s="79"/>
      <c r="B23" s="51" t="str">
        <f>VLOOKUP("&lt;T2Zeilentitel_4.2&gt;",Uebersetzungen!$B$3:$E$194,Uebersetzungen!$B$2+1,FALSE)</f>
        <v>EU und EFTA</v>
      </c>
      <c r="C23" s="83">
        <v>28464.778974147004</v>
      </c>
      <c r="D23" s="59">
        <v>6.8848591999867148</v>
      </c>
      <c r="E23" s="18">
        <v>22649.789505402696</v>
      </c>
      <c r="F23" s="59">
        <v>7.9163593429701962</v>
      </c>
      <c r="G23" s="18">
        <v>21955.405747782013</v>
      </c>
      <c r="H23" s="59">
        <v>8.0575973566114207</v>
      </c>
      <c r="I23" s="18">
        <v>17897.362775066838</v>
      </c>
      <c r="J23" s="59">
        <v>9.1044940501955125</v>
      </c>
      <c r="K23" s="47">
        <v>1918.3030078373467</v>
      </c>
      <c r="L23" s="68">
        <v>27.766310851188329</v>
      </c>
      <c r="M23" s="47">
        <v>1295.5797283626359</v>
      </c>
      <c r="N23" s="68">
        <v>33.424027157173427</v>
      </c>
      <c r="O23" s="48">
        <v>844.16023651514513</v>
      </c>
      <c r="P23" s="68">
        <v>41.235490957275765</v>
      </c>
      <c r="Q23" s="48">
        <v>694.38375762068813</v>
      </c>
      <c r="R23" s="68">
        <v>47.425442342252111</v>
      </c>
      <c r="S23" s="47">
        <v>1064.6313748201137</v>
      </c>
      <c r="T23" s="68">
        <v>40.961582912471663</v>
      </c>
      <c r="U23" s="48">
        <v>743.58937146097537</v>
      </c>
      <c r="V23" s="68">
        <v>43.202974426087664</v>
      </c>
      <c r="W23" s="18">
        <v>3083.9754498436309</v>
      </c>
      <c r="X23" s="59">
        <v>20.366017297089556</v>
      </c>
      <c r="Y23" s="48">
        <v>922.7932726196301</v>
      </c>
      <c r="Z23" s="71">
        <v>42.503978083288615</v>
      </c>
    </row>
    <row r="24" spans="1:26" x14ac:dyDescent="0.2">
      <c r="A24" s="79"/>
      <c r="B24" s="51" t="str">
        <f>VLOOKUP("&lt;T2Zeilentitel_4.3&gt;",Uebersetzungen!$B$3:$E$194,Uebersetzungen!$B$2+1,FALSE)</f>
        <v>Andere europäische Staaten</v>
      </c>
      <c r="C24" s="83">
        <v>4405.4967638607159</v>
      </c>
      <c r="D24" s="59">
        <v>19.78768188949455</v>
      </c>
      <c r="E24" s="18">
        <v>2451.2024048906355</v>
      </c>
      <c r="F24" s="59">
        <v>26.977652246760542</v>
      </c>
      <c r="G24" s="18">
        <v>2356.4526433346055</v>
      </c>
      <c r="H24" s="59">
        <v>27.523326352727643</v>
      </c>
      <c r="I24" s="47">
        <v>1851.0376374411533</v>
      </c>
      <c r="J24" s="68">
        <v>31.874664551174146</v>
      </c>
      <c r="K24" s="18" t="s">
        <v>340</v>
      </c>
      <c r="L24" s="59" t="s">
        <v>340</v>
      </c>
      <c r="M24" s="48">
        <v>238.24445296961201</v>
      </c>
      <c r="N24" s="68">
        <v>79.33332114482252</v>
      </c>
      <c r="O24" s="18" t="s">
        <v>340</v>
      </c>
      <c r="P24" s="59" t="s">
        <v>340</v>
      </c>
      <c r="Q24" s="18" t="s">
        <v>340</v>
      </c>
      <c r="R24" s="59" t="s">
        <v>340</v>
      </c>
      <c r="S24" s="18" t="s">
        <v>340</v>
      </c>
      <c r="T24" s="59" t="s">
        <v>340</v>
      </c>
      <c r="U24" s="48">
        <v>480.62901819715347</v>
      </c>
      <c r="V24" s="68">
        <v>59.255365957460818</v>
      </c>
      <c r="W24" s="48">
        <v>916.34395446789142</v>
      </c>
      <c r="X24" s="68">
        <v>42.501082731258172</v>
      </c>
      <c r="Y24" s="48">
        <v>422.60219233738502</v>
      </c>
      <c r="Z24" s="71">
        <v>65.245490180798768</v>
      </c>
    </row>
    <row r="25" spans="1:26" x14ac:dyDescent="0.2">
      <c r="A25" s="79"/>
      <c r="B25" s="51" t="str">
        <f>VLOOKUP("&lt;T2Zeilentitel_4.4&gt;",Uebersetzungen!$B$3:$E$194,Uebersetzungen!$B$2+1,FALSE)</f>
        <v>Andere Staaten</v>
      </c>
      <c r="C25" s="83">
        <v>3626.7242619924309</v>
      </c>
      <c r="D25" s="59">
        <v>21.364364793245247</v>
      </c>
      <c r="E25" s="18">
        <v>2485.9993208776214</v>
      </c>
      <c r="F25" s="59">
        <v>25.70545284401279</v>
      </c>
      <c r="G25" s="18">
        <v>2279.2621553078002</v>
      </c>
      <c r="H25" s="59">
        <v>27.130486215850336</v>
      </c>
      <c r="I25" s="47">
        <v>1870.5873869287016</v>
      </c>
      <c r="J25" s="68">
        <v>30.526851409549863</v>
      </c>
      <c r="K25" s="48">
        <v>177.94826970938868</v>
      </c>
      <c r="L25" s="68">
        <v>86.923122478800082</v>
      </c>
      <c r="M25" s="18" t="s">
        <v>340</v>
      </c>
      <c r="N25" s="59" t="s">
        <v>340</v>
      </c>
      <c r="O25" s="18" t="s">
        <v>340</v>
      </c>
      <c r="P25" s="59" t="s">
        <v>340</v>
      </c>
      <c r="Q25" s="48">
        <v>206.73716556982095</v>
      </c>
      <c r="R25" s="68">
        <v>79.031047948886652</v>
      </c>
      <c r="S25" s="48">
        <v>336.97725138043796</v>
      </c>
      <c r="T25" s="68">
        <v>79.775539291127842</v>
      </c>
      <c r="U25" s="48">
        <v>288.60851881920786</v>
      </c>
      <c r="V25" s="68">
        <v>68.437590024223482</v>
      </c>
      <c r="W25" s="18" t="s">
        <v>340</v>
      </c>
      <c r="X25" s="59" t="s">
        <v>340</v>
      </c>
      <c r="Y25" s="48">
        <v>399.22097733479274</v>
      </c>
      <c r="Z25" s="71">
        <v>65.682298704049884</v>
      </c>
    </row>
    <row r="26" spans="1:26" x14ac:dyDescent="0.2">
      <c r="A26" s="79"/>
      <c r="B26" s="51" t="str">
        <f>VLOOKUP("&lt;T2Zeilentitel_4.5&gt;",Uebersetzungen!$B$3:$E$194,Uebersetzungen!$B$2+1,FALSE)</f>
        <v>Staatsangehörigkeit unbekannt</v>
      </c>
      <c r="C26" s="83" t="s">
        <v>340</v>
      </c>
      <c r="D26" s="59" t="s">
        <v>340</v>
      </c>
      <c r="E26" s="18" t="s">
        <v>340</v>
      </c>
      <c r="F26" s="59" t="s">
        <v>340</v>
      </c>
      <c r="G26" s="18" t="s">
        <v>340</v>
      </c>
      <c r="H26" s="59" t="s">
        <v>340</v>
      </c>
      <c r="I26" s="18" t="s">
        <v>340</v>
      </c>
      <c r="J26" s="59" t="s">
        <v>340</v>
      </c>
      <c r="K26" s="18" t="s">
        <v>340</v>
      </c>
      <c r="L26" s="59" t="s">
        <v>340</v>
      </c>
      <c r="M26" s="18" t="s">
        <v>340</v>
      </c>
      <c r="N26" s="59" t="s">
        <v>340</v>
      </c>
      <c r="O26" s="18" t="s">
        <v>340</v>
      </c>
      <c r="P26" s="59" t="s">
        <v>340</v>
      </c>
      <c r="Q26" s="18" t="s">
        <v>340</v>
      </c>
      <c r="R26" s="59" t="s">
        <v>340</v>
      </c>
      <c r="S26" s="18" t="s">
        <v>340</v>
      </c>
      <c r="T26" s="59" t="s">
        <v>340</v>
      </c>
      <c r="U26" s="18" t="s">
        <v>340</v>
      </c>
      <c r="V26" s="59" t="s">
        <v>340</v>
      </c>
      <c r="W26" s="18" t="s">
        <v>340</v>
      </c>
      <c r="X26" s="59" t="s">
        <v>340</v>
      </c>
      <c r="Y26" s="18" t="s">
        <v>340</v>
      </c>
      <c r="Z26" s="70" t="s">
        <v>340</v>
      </c>
    </row>
    <row r="27" spans="1:26" ht="25.5" x14ac:dyDescent="0.2">
      <c r="A27" s="80" t="str">
        <f>VLOOKUP("&lt;T2Zeilentitel_5&gt;",Uebersetzungen!$B$3:$E$194,Uebersetzungen!$B$2+1,FALSE)</f>
        <v>Migrationsstatus</v>
      </c>
      <c r="B27" s="52" t="str">
        <f>VLOOKUP("&lt;T2Zeilentitel_5.1&gt;",Uebersetzungen!$B$3:$E$194,Uebersetzungen!$B$2+1,FALSE)</f>
        <v>Schweizer/innen ohne Migrationshintergrund</v>
      </c>
      <c r="C27" s="94">
        <v>122172.64107475596</v>
      </c>
      <c r="D27" s="95">
        <v>1.7493769218530257</v>
      </c>
      <c r="E27" s="94">
        <v>74487.741293410625</v>
      </c>
      <c r="F27" s="95">
        <v>3.1807125037340076</v>
      </c>
      <c r="G27" s="94">
        <v>73443.81572958114</v>
      </c>
      <c r="H27" s="95">
        <v>3.2167716354785805</v>
      </c>
      <c r="I27" s="94">
        <v>48118.57390222793</v>
      </c>
      <c r="J27" s="95">
        <v>4.4783925302752321</v>
      </c>
      <c r="K27" s="94">
        <v>7504.6755050280926</v>
      </c>
      <c r="L27" s="95">
        <v>12.865286300392134</v>
      </c>
      <c r="M27" s="94">
        <v>7817.728306569019</v>
      </c>
      <c r="N27" s="95">
        <v>12.600968063418261</v>
      </c>
      <c r="O27" s="94">
        <v>10002.838015755982</v>
      </c>
      <c r="P27" s="95">
        <v>10.962691873406401</v>
      </c>
      <c r="Q27" s="98">
        <v>1043.9255638294721</v>
      </c>
      <c r="R27" s="97">
        <v>36.847314505914447</v>
      </c>
      <c r="S27" s="94">
        <v>5610.6470824021571</v>
      </c>
      <c r="T27" s="95">
        <v>14.952587829203889</v>
      </c>
      <c r="U27" s="94">
        <v>2506.9154296440302</v>
      </c>
      <c r="V27" s="95">
        <v>22.806916270739499</v>
      </c>
      <c r="W27" s="94">
        <v>37174.893774347125</v>
      </c>
      <c r="X27" s="95">
        <v>5.1207168874419464</v>
      </c>
      <c r="Y27" s="94">
        <v>2392.4434949521747</v>
      </c>
      <c r="Z27" s="104">
        <v>23.798848975167573</v>
      </c>
    </row>
    <row r="28" spans="1:26" ht="25.5" x14ac:dyDescent="0.2">
      <c r="A28" s="79"/>
      <c r="B28" s="51" t="str">
        <f>VLOOKUP("&lt;T2Zeilentitel_5.2&gt;",Uebersetzungen!$B$3:$E$194,Uebersetzungen!$B$2+1,FALSE)</f>
        <v>Schweizer/innen mit Migrationshintergrund</v>
      </c>
      <c r="C28" s="18">
        <v>16792.66414457151</v>
      </c>
      <c r="D28" s="59">
        <v>8.3186880237247625</v>
      </c>
      <c r="E28" s="18">
        <v>10088.477547911576</v>
      </c>
      <c r="F28" s="59">
        <v>11.005782737594398</v>
      </c>
      <c r="G28" s="18">
        <v>9863.6264302419731</v>
      </c>
      <c r="H28" s="59">
        <v>11.125390468741619</v>
      </c>
      <c r="I28" s="18">
        <v>6388.5937259035345</v>
      </c>
      <c r="J28" s="59">
        <v>14.0241504571737</v>
      </c>
      <c r="K28" s="47">
        <v>1160.7972791312911</v>
      </c>
      <c r="L28" s="68">
        <v>33.124236319876964</v>
      </c>
      <c r="M28" s="47">
        <v>1133.074658545544</v>
      </c>
      <c r="N28" s="68">
        <v>33.593850145866611</v>
      </c>
      <c r="O28" s="47">
        <v>1181.1607666616028</v>
      </c>
      <c r="P28" s="68">
        <v>32.624648486269763</v>
      </c>
      <c r="Q28" s="48">
        <v>224.85111766960239</v>
      </c>
      <c r="R28" s="68">
        <v>79.491855011540025</v>
      </c>
      <c r="S28" s="48">
        <v>490.98061911656663</v>
      </c>
      <c r="T28" s="68">
        <v>51.761818437563164</v>
      </c>
      <c r="U28" s="48">
        <v>620.5165090818291</v>
      </c>
      <c r="V28" s="68">
        <v>46.861836567248631</v>
      </c>
      <c r="W28" s="18">
        <v>5095.4331782854115</v>
      </c>
      <c r="X28" s="59">
        <v>15.44709563927907</v>
      </c>
      <c r="Y28" s="48">
        <v>497.25629017612931</v>
      </c>
      <c r="Z28" s="71">
        <v>51.717442925199563</v>
      </c>
    </row>
    <row r="29" spans="1:26" ht="25.5" x14ac:dyDescent="0.2">
      <c r="A29" s="79"/>
      <c r="B29" s="51" t="str">
        <f>VLOOKUP("&lt;T2Zeilentitel_5.3&gt;",Uebersetzungen!$B$3:$E$194,Uebersetzungen!$B$2+1,FALSE)</f>
        <v>Ausländer/innen der ersten Generation</v>
      </c>
      <c r="C29" s="18">
        <v>34475.342092880514</v>
      </c>
      <c r="D29" s="59">
        <v>6.2304465488433722</v>
      </c>
      <c r="E29" s="18">
        <v>26197.246059187972</v>
      </c>
      <c r="F29" s="59">
        <v>7.357343415929595</v>
      </c>
      <c r="G29" s="18">
        <v>25201.375374441428</v>
      </c>
      <c r="H29" s="59">
        <v>7.5300802586595257</v>
      </c>
      <c r="I29" s="18">
        <v>20307.834016084806</v>
      </c>
      <c r="J29" s="59">
        <v>8.6041721346770856</v>
      </c>
      <c r="K29" s="18">
        <v>2218.8593003259111</v>
      </c>
      <c r="L29" s="59">
        <v>25.713575753746017</v>
      </c>
      <c r="M29" s="47">
        <v>1636.3722235993114</v>
      </c>
      <c r="N29" s="68">
        <v>29.663984315635531</v>
      </c>
      <c r="O29" s="47">
        <v>1038.3098344313612</v>
      </c>
      <c r="P29" s="68">
        <v>37.182600129506028</v>
      </c>
      <c r="Q29" s="48">
        <v>995.87068474653904</v>
      </c>
      <c r="R29" s="68">
        <v>39.11963359929792</v>
      </c>
      <c r="S29" s="47">
        <v>1097.566992020714</v>
      </c>
      <c r="T29" s="68">
        <v>42.035404567266745</v>
      </c>
      <c r="U29" s="47">
        <v>1474.3257539791116</v>
      </c>
      <c r="V29" s="68">
        <v>31.581801130373112</v>
      </c>
      <c r="W29" s="18">
        <v>4008.4623200557244</v>
      </c>
      <c r="X29" s="59">
        <v>18.39297945863262</v>
      </c>
      <c r="Y29" s="47">
        <v>1697.7409676370273</v>
      </c>
      <c r="Z29" s="71">
        <v>31.67227587288188</v>
      </c>
    </row>
    <row r="30" spans="1:26" ht="25.5" x14ac:dyDescent="0.2">
      <c r="A30" s="79"/>
      <c r="B30" s="51" t="str">
        <f>VLOOKUP("&lt;T2Zeilentitel_5.4&gt;",Uebersetzungen!$B$3:$E$194,Uebersetzungen!$B$2+1,FALSE)</f>
        <v>Ausländer/innen der zweiten und höheren Generation</v>
      </c>
      <c r="C30" s="47">
        <v>2021.6579071196716</v>
      </c>
      <c r="D30" s="68">
        <v>28.076510886061907</v>
      </c>
      <c r="E30" s="47">
        <v>1389.745171983008</v>
      </c>
      <c r="F30" s="68">
        <v>33.918032924165047</v>
      </c>
      <c r="G30" s="47">
        <v>1389.745171983008</v>
      </c>
      <c r="H30" s="68">
        <v>33.918032924165047</v>
      </c>
      <c r="I30" s="47">
        <v>1311.1537833519128</v>
      </c>
      <c r="J30" s="68">
        <v>34.983598319022079</v>
      </c>
      <c r="K30" s="18" t="s">
        <v>340</v>
      </c>
      <c r="L30" s="59" t="s">
        <v>340</v>
      </c>
      <c r="M30" s="18" t="s">
        <v>340</v>
      </c>
      <c r="N30" s="59" t="s">
        <v>340</v>
      </c>
      <c r="O30" s="18" t="s">
        <v>340</v>
      </c>
      <c r="P30" s="59" t="s">
        <v>340</v>
      </c>
      <c r="Q30" s="18" t="s">
        <v>340</v>
      </c>
      <c r="R30" s="59" t="s">
        <v>340</v>
      </c>
      <c r="S30" s="48">
        <v>438.76082814748929</v>
      </c>
      <c r="T30" s="68">
        <v>61.373737576033463</v>
      </c>
      <c r="U30" s="18" t="s">
        <v>340</v>
      </c>
      <c r="V30" s="59" t="s">
        <v>340</v>
      </c>
      <c r="W30" s="18" t="s">
        <v>340</v>
      </c>
      <c r="X30" s="59" t="s">
        <v>340</v>
      </c>
      <c r="Y30" s="18" t="s">
        <v>340</v>
      </c>
      <c r="Z30" s="70" t="s">
        <v>340</v>
      </c>
    </row>
    <row r="31" spans="1:26" x14ac:dyDescent="0.2">
      <c r="A31" s="79"/>
      <c r="B31" s="51" t="str">
        <f>VLOOKUP("&lt;T2Zeilentitel_5.5&gt;",Uebersetzungen!$B$3:$E$194,Uebersetzungen!$B$2+1,FALSE)</f>
        <v>Migrationshintergrund unbekannt</v>
      </c>
      <c r="C31" s="102">
        <v>514.69478066784814</v>
      </c>
      <c r="D31" s="101">
        <v>50.328158876178726</v>
      </c>
      <c r="E31" s="102">
        <v>311.52391270974863</v>
      </c>
      <c r="F31" s="101">
        <v>65.379810258637221</v>
      </c>
      <c r="G31" s="102">
        <v>291.76431714156757</v>
      </c>
      <c r="H31" s="101">
        <v>68.577492935730049</v>
      </c>
      <c r="I31" s="102">
        <v>226.1241593016565</v>
      </c>
      <c r="J31" s="101">
        <v>79.118214813397429</v>
      </c>
      <c r="K31" s="25" t="s">
        <v>340</v>
      </c>
      <c r="L31" s="100" t="s">
        <v>340</v>
      </c>
      <c r="M31" s="25" t="s">
        <v>340</v>
      </c>
      <c r="N31" s="100" t="s">
        <v>340</v>
      </c>
      <c r="O31" s="25" t="s">
        <v>340</v>
      </c>
      <c r="P31" s="100" t="s">
        <v>340</v>
      </c>
      <c r="Q31" s="25" t="s">
        <v>340</v>
      </c>
      <c r="R31" s="100" t="s">
        <v>340</v>
      </c>
      <c r="S31" s="25" t="s">
        <v>340</v>
      </c>
      <c r="T31" s="100" t="s">
        <v>340</v>
      </c>
      <c r="U31" s="25" t="s">
        <v>340</v>
      </c>
      <c r="V31" s="100" t="s">
        <v>340</v>
      </c>
      <c r="W31" s="25" t="s">
        <v>340</v>
      </c>
      <c r="X31" s="100" t="s">
        <v>340</v>
      </c>
      <c r="Y31" s="25" t="s">
        <v>340</v>
      </c>
      <c r="Z31" s="103" t="s">
        <v>340</v>
      </c>
    </row>
    <row r="32" spans="1:26" ht="12.75" customHeight="1" x14ac:dyDescent="0.2">
      <c r="A32" s="80" t="str">
        <f>VLOOKUP("&lt;T2Zeilentitel_6&gt;",Uebersetzungen!$B$3:$E$194,Uebersetzungen!$B$2+1,FALSE)</f>
        <v>Sozioprofessionelle Kategorien</v>
      </c>
      <c r="B32" s="52" t="str">
        <f>VLOOKUP("&lt;T2Zeilentitel_6.1&gt;",Uebersetzungen!$B$3:$E$194,Uebersetzungen!$B$2+1,FALSE)</f>
        <v>Oberstes Management</v>
      </c>
      <c r="C32" s="83">
        <v>2591.821881584016</v>
      </c>
      <c r="D32" s="59">
        <v>22.096779166267027</v>
      </c>
      <c r="E32" s="18">
        <v>2591.821881584016</v>
      </c>
      <c r="F32" s="59">
        <v>22.096779166267048</v>
      </c>
      <c r="G32" s="18">
        <v>2591.821881584016</v>
      </c>
      <c r="H32" s="59">
        <v>22.096779166267048</v>
      </c>
      <c r="I32" s="18">
        <v>2328.8575389787393</v>
      </c>
      <c r="J32" s="59">
        <v>23.379266982367898</v>
      </c>
      <c r="K32" s="18" t="s">
        <v>340</v>
      </c>
      <c r="L32" s="59" t="s">
        <v>340</v>
      </c>
      <c r="M32" s="48">
        <v>169.08486254127143</v>
      </c>
      <c r="N32" s="68">
        <v>86.750682497453965</v>
      </c>
      <c r="O32" s="18" t="s">
        <v>340</v>
      </c>
      <c r="P32" s="59" t="s">
        <v>340</v>
      </c>
      <c r="Q32" s="54" t="s">
        <v>340</v>
      </c>
      <c r="R32" s="87" t="s">
        <v>340</v>
      </c>
      <c r="S32" s="54" t="s">
        <v>340</v>
      </c>
      <c r="T32" s="87" t="s">
        <v>340</v>
      </c>
      <c r="U32" s="54" t="s">
        <v>340</v>
      </c>
      <c r="V32" s="87" t="s">
        <v>340</v>
      </c>
      <c r="W32" s="54" t="s">
        <v>340</v>
      </c>
      <c r="X32" s="87" t="s">
        <v>340</v>
      </c>
      <c r="Y32" s="54" t="s">
        <v>340</v>
      </c>
      <c r="Z32" s="89" t="s">
        <v>340</v>
      </c>
    </row>
    <row r="33" spans="1:26" x14ac:dyDescent="0.2">
      <c r="A33" s="79"/>
      <c r="B33" s="51" t="str">
        <f>VLOOKUP("&lt;T2Zeilentitel_6.2&gt;",Uebersetzungen!$B$3:$E$194,Uebersetzungen!$B$2+1,FALSE)</f>
        <v>Freie und gleichgestellte Berufe</v>
      </c>
      <c r="C33" s="83">
        <v>2772.6059416691342</v>
      </c>
      <c r="D33" s="59">
        <v>21.257825256075527</v>
      </c>
      <c r="E33" s="18">
        <v>2772.6059416691332</v>
      </c>
      <c r="F33" s="59">
        <v>21.257825256075535</v>
      </c>
      <c r="G33" s="18">
        <v>2772.6059416691332</v>
      </c>
      <c r="H33" s="59">
        <v>21.257825256075535</v>
      </c>
      <c r="I33" s="18">
        <v>1953.5443471136111</v>
      </c>
      <c r="J33" s="59">
        <v>25.573971145739609</v>
      </c>
      <c r="K33" s="48">
        <v>232.07431211096971</v>
      </c>
      <c r="L33" s="68">
        <v>73.088541628528986</v>
      </c>
      <c r="M33" s="48">
        <v>206.65431586102514</v>
      </c>
      <c r="N33" s="68">
        <v>79.139268146310101</v>
      </c>
      <c r="O33" s="48">
        <v>380.33296658352793</v>
      </c>
      <c r="P33" s="68">
        <v>55.787894554122424</v>
      </c>
      <c r="Q33" s="54" t="s">
        <v>340</v>
      </c>
      <c r="R33" s="87" t="s">
        <v>340</v>
      </c>
      <c r="S33" s="54" t="s">
        <v>340</v>
      </c>
      <c r="T33" s="87" t="s">
        <v>340</v>
      </c>
      <c r="U33" s="54" t="s">
        <v>340</v>
      </c>
      <c r="V33" s="87" t="s">
        <v>340</v>
      </c>
      <c r="W33" s="54" t="s">
        <v>340</v>
      </c>
      <c r="X33" s="87" t="s">
        <v>340</v>
      </c>
      <c r="Y33" s="54" t="s">
        <v>340</v>
      </c>
      <c r="Z33" s="89" t="s">
        <v>340</v>
      </c>
    </row>
    <row r="34" spans="1:26" x14ac:dyDescent="0.2">
      <c r="A34" s="79"/>
      <c r="B34" s="51" t="str">
        <f>VLOOKUP("&lt;T2Zeilentitel_6.3&gt;",Uebersetzungen!$B$3:$E$194,Uebersetzungen!$B$2+1,FALSE)</f>
        <v>Andere Selbstständige</v>
      </c>
      <c r="C34" s="83">
        <v>13585.627488911183</v>
      </c>
      <c r="D34" s="59">
        <v>9.6193425282333873</v>
      </c>
      <c r="E34" s="18">
        <v>13585.627488911183</v>
      </c>
      <c r="F34" s="59">
        <v>9.6193425282333873</v>
      </c>
      <c r="G34" s="18">
        <v>13585.627488911183</v>
      </c>
      <c r="H34" s="59">
        <v>9.6193425282333873</v>
      </c>
      <c r="I34" s="18">
        <v>9673.4560884764105</v>
      </c>
      <c r="J34" s="59">
        <v>11.658858395959491</v>
      </c>
      <c r="K34" s="48">
        <v>554.02350031256003</v>
      </c>
      <c r="L34" s="68">
        <v>48.34919850074705</v>
      </c>
      <c r="M34" s="47">
        <v>1458.9647022258519</v>
      </c>
      <c r="N34" s="68">
        <v>30.200670627047742</v>
      </c>
      <c r="O34" s="18">
        <v>1899.1831978963594</v>
      </c>
      <c r="P34" s="59">
        <v>25.489409547037404</v>
      </c>
      <c r="Q34" s="54" t="s">
        <v>340</v>
      </c>
      <c r="R34" s="87" t="s">
        <v>340</v>
      </c>
      <c r="S34" s="54" t="s">
        <v>340</v>
      </c>
      <c r="T34" s="87" t="s">
        <v>340</v>
      </c>
      <c r="U34" s="54" t="s">
        <v>340</v>
      </c>
      <c r="V34" s="87" t="s">
        <v>340</v>
      </c>
      <c r="W34" s="54" t="s">
        <v>340</v>
      </c>
      <c r="X34" s="87" t="s">
        <v>340</v>
      </c>
      <c r="Y34" s="54" t="s">
        <v>340</v>
      </c>
      <c r="Z34" s="89" t="s">
        <v>340</v>
      </c>
    </row>
    <row r="35" spans="1:26" ht="12.75" customHeight="1" x14ac:dyDescent="0.2">
      <c r="A35" s="79"/>
      <c r="B35" s="51" t="str">
        <f>VLOOKUP("&lt;T2Zeilentitel_6.4&gt;",Uebersetzungen!$B$3:$E$194,Uebersetzungen!$B$2+1,FALSE)</f>
        <v>Akademische Berufe und oberes Kader</v>
      </c>
      <c r="C35" s="83">
        <v>16516.630569380322</v>
      </c>
      <c r="D35" s="59">
        <v>8.5095799786306703</v>
      </c>
      <c r="E35" s="18">
        <v>16516.630569380319</v>
      </c>
      <c r="F35" s="59">
        <v>8.5095799786306721</v>
      </c>
      <c r="G35" s="18">
        <v>16516.630569380319</v>
      </c>
      <c r="H35" s="59">
        <v>8.5095799786306721</v>
      </c>
      <c r="I35" s="18">
        <v>10366.942322744419</v>
      </c>
      <c r="J35" s="59">
        <v>11.030065168799847</v>
      </c>
      <c r="K35" s="18">
        <v>2621.6302495743785</v>
      </c>
      <c r="L35" s="59">
        <v>22.145299923421462</v>
      </c>
      <c r="M35" s="18">
        <v>1810.2402561935244</v>
      </c>
      <c r="N35" s="59">
        <v>26.509310179866439</v>
      </c>
      <c r="O35" s="18">
        <v>1717.8177408679987</v>
      </c>
      <c r="P35" s="59">
        <v>27.045126116250842</v>
      </c>
      <c r="Q35" s="54" t="s">
        <v>340</v>
      </c>
      <c r="R35" s="87" t="s">
        <v>340</v>
      </c>
      <c r="S35" s="54" t="s">
        <v>340</v>
      </c>
      <c r="T35" s="87" t="s">
        <v>340</v>
      </c>
      <c r="U35" s="54" t="s">
        <v>340</v>
      </c>
      <c r="V35" s="87" t="s">
        <v>340</v>
      </c>
      <c r="W35" s="54" t="s">
        <v>340</v>
      </c>
      <c r="X35" s="87" t="s">
        <v>340</v>
      </c>
      <c r="Y35" s="54" t="s">
        <v>340</v>
      </c>
      <c r="Z35" s="89" t="s">
        <v>340</v>
      </c>
    </row>
    <row r="36" spans="1:26" x14ac:dyDescent="0.2">
      <c r="A36" s="79"/>
      <c r="B36" s="51" t="str">
        <f>VLOOKUP("&lt;T2Zeilentitel_6.5&gt;",Uebersetzungen!$B$3:$E$194,Uebersetzungen!$B$2+1,FALSE)</f>
        <v>Intermediäre Berufe</v>
      </c>
      <c r="C36" s="83">
        <v>31500.389602709791</v>
      </c>
      <c r="D36" s="59">
        <v>6.0706703697586724</v>
      </c>
      <c r="E36" s="18">
        <v>31500.389602709791</v>
      </c>
      <c r="F36" s="59">
        <v>6.0706703697586724</v>
      </c>
      <c r="G36" s="18">
        <v>31500.389602709791</v>
      </c>
      <c r="H36" s="59">
        <v>6.0706703697586724</v>
      </c>
      <c r="I36" s="18">
        <v>22786.040808777852</v>
      </c>
      <c r="J36" s="59">
        <v>7.4337198538578066</v>
      </c>
      <c r="K36" s="18">
        <v>2987.3855495411344</v>
      </c>
      <c r="L36" s="59">
        <v>20.99080957427222</v>
      </c>
      <c r="M36" s="18">
        <v>2772.637469631884</v>
      </c>
      <c r="N36" s="59">
        <v>21.5891465123769</v>
      </c>
      <c r="O36" s="18">
        <v>2954.3257747589205</v>
      </c>
      <c r="P36" s="59">
        <v>20.737410213440619</v>
      </c>
      <c r="Q36" s="54" t="s">
        <v>340</v>
      </c>
      <c r="R36" s="87" t="s">
        <v>340</v>
      </c>
      <c r="S36" s="54" t="s">
        <v>340</v>
      </c>
      <c r="T36" s="87" t="s">
        <v>340</v>
      </c>
      <c r="U36" s="54" t="s">
        <v>340</v>
      </c>
      <c r="V36" s="87" t="s">
        <v>340</v>
      </c>
      <c r="W36" s="54" t="s">
        <v>340</v>
      </c>
      <c r="X36" s="87" t="s">
        <v>340</v>
      </c>
      <c r="Y36" s="54" t="s">
        <v>340</v>
      </c>
      <c r="Z36" s="89" t="s">
        <v>340</v>
      </c>
    </row>
    <row r="37" spans="1:26" x14ac:dyDescent="0.2">
      <c r="A37" s="79"/>
      <c r="B37" s="51" t="str">
        <f>VLOOKUP("&lt;T2Zeilentitel_6.6&gt;",Uebersetzungen!$B$3:$E$194,Uebersetzungen!$B$2+1,FALSE)</f>
        <v>Qualifizierte nichtmanuelle Berufe</v>
      </c>
      <c r="C37" s="83">
        <v>23605.68661949251</v>
      </c>
      <c r="D37" s="59">
        <v>7.0821137163126409</v>
      </c>
      <c r="E37" s="18">
        <v>23605.686619492506</v>
      </c>
      <c r="F37" s="59">
        <v>7.0821137163126417</v>
      </c>
      <c r="G37" s="18">
        <v>23605.686619492506</v>
      </c>
      <c r="H37" s="59">
        <v>7.0821137163126417</v>
      </c>
      <c r="I37" s="18">
        <v>12958.406474525844</v>
      </c>
      <c r="J37" s="59">
        <v>9.9650958272757464</v>
      </c>
      <c r="K37" s="18">
        <v>3401.9518733823888</v>
      </c>
      <c r="L37" s="59">
        <v>19.761658758288338</v>
      </c>
      <c r="M37" s="18">
        <v>3198.8408568411751</v>
      </c>
      <c r="N37" s="59">
        <v>20.242133632609352</v>
      </c>
      <c r="O37" s="18">
        <v>4046.4874147431019</v>
      </c>
      <c r="P37" s="59">
        <v>17.856696991502819</v>
      </c>
      <c r="Q37" s="54" t="s">
        <v>340</v>
      </c>
      <c r="R37" s="87" t="s">
        <v>340</v>
      </c>
      <c r="S37" s="54" t="s">
        <v>340</v>
      </c>
      <c r="T37" s="87" t="s">
        <v>340</v>
      </c>
      <c r="U37" s="54" t="s">
        <v>340</v>
      </c>
      <c r="V37" s="87" t="s">
        <v>340</v>
      </c>
      <c r="W37" s="54" t="s">
        <v>340</v>
      </c>
      <c r="X37" s="87" t="s">
        <v>340</v>
      </c>
      <c r="Y37" s="54" t="s">
        <v>340</v>
      </c>
      <c r="Z37" s="89" t="s">
        <v>340</v>
      </c>
    </row>
    <row r="38" spans="1:26" x14ac:dyDescent="0.2">
      <c r="A38" s="79"/>
      <c r="B38" s="51" t="str">
        <f>VLOOKUP("&lt;T2Zeilentitel_6.7&gt;",Uebersetzungen!$B$3:$E$194,Uebersetzungen!$B$2+1,FALSE)</f>
        <v>Qualifizierte manuelle Berufe</v>
      </c>
      <c r="C38" s="83">
        <v>9675.5097240627783</v>
      </c>
      <c r="D38" s="59">
        <v>12.183978199175272</v>
      </c>
      <c r="E38" s="18">
        <v>9675.5097240627765</v>
      </c>
      <c r="F38" s="59">
        <v>12.183978199175273</v>
      </c>
      <c r="G38" s="18">
        <v>9675.5097240627765</v>
      </c>
      <c r="H38" s="59">
        <v>12.183978199175273</v>
      </c>
      <c r="I38" s="18">
        <v>8510.9496164527864</v>
      </c>
      <c r="J38" s="59">
        <v>13.143474529638036</v>
      </c>
      <c r="K38" s="48">
        <v>423.28073113005428</v>
      </c>
      <c r="L38" s="68">
        <v>55.86853743869333</v>
      </c>
      <c r="M38" s="48">
        <v>255.45518807053909</v>
      </c>
      <c r="N38" s="68">
        <v>73.294981858156149</v>
      </c>
      <c r="O38" s="48">
        <v>485.82418840939869</v>
      </c>
      <c r="P38" s="68">
        <v>51.693901685821729</v>
      </c>
      <c r="Q38" s="54" t="s">
        <v>340</v>
      </c>
      <c r="R38" s="87" t="s">
        <v>340</v>
      </c>
      <c r="S38" s="54" t="s">
        <v>340</v>
      </c>
      <c r="T38" s="87" t="s">
        <v>340</v>
      </c>
      <c r="U38" s="54" t="s">
        <v>340</v>
      </c>
      <c r="V38" s="87" t="s">
        <v>340</v>
      </c>
      <c r="W38" s="54" t="s">
        <v>340</v>
      </c>
      <c r="X38" s="87" t="s">
        <v>340</v>
      </c>
      <c r="Y38" s="54" t="s">
        <v>340</v>
      </c>
      <c r="Z38" s="89" t="s">
        <v>340</v>
      </c>
    </row>
    <row r="39" spans="1:26" x14ac:dyDescent="0.2">
      <c r="A39" s="79"/>
      <c r="B39" s="51" t="str">
        <f>VLOOKUP("&lt;T2Zeilentitel_6.8&gt;",Uebersetzungen!$B$3:$E$194,Uebersetzungen!$B$2+1,FALSE)</f>
        <v>Ungelernte Angestellte und Arbeiter</v>
      </c>
      <c r="C39" s="83">
        <v>5853.1832767080732</v>
      </c>
      <c r="D39" s="59">
        <v>16.140312244326328</v>
      </c>
      <c r="E39" s="18">
        <v>5853.1832767080768</v>
      </c>
      <c r="F39" s="59">
        <v>16.140312244326317</v>
      </c>
      <c r="G39" s="18">
        <v>5853.1832767080768</v>
      </c>
      <c r="H39" s="59">
        <v>16.140312244326317</v>
      </c>
      <c r="I39" s="18">
        <v>4208.2443590727135</v>
      </c>
      <c r="J39" s="59">
        <v>19.554341500205023</v>
      </c>
      <c r="K39" s="48">
        <v>570.42011782222619</v>
      </c>
      <c r="L39" s="68">
        <v>50.193283818476111</v>
      </c>
      <c r="M39" s="48">
        <v>548.66718266068165</v>
      </c>
      <c r="N39" s="68">
        <v>50.222436336070992</v>
      </c>
      <c r="O39" s="48">
        <v>525.85161715245124</v>
      </c>
      <c r="P39" s="68">
        <v>50.058921132802681</v>
      </c>
      <c r="Q39" s="54" t="s">
        <v>340</v>
      </c>
      <c r="R39" s="87" t="s">
        <v>340</v>
      </c>
      <c r="S39" s="54" t="s">
        <v>340</v>
      </c>
      <c r="T39" s="87" t="s">
        <v>340</v>
      </c>
      <c r="U39" s="54" t="s">
        <v>340</v>
      </c>
      <c r="V39" s="87" t="s">
        <v>340</v>
      </c>
      <c r="W39" s="54" t="s">
        <v>340</v>
      </c>
      <c r="X39" s="87" t="s">
        <v>340</v>
      </c>
      <c r="Y39" s="54" t="s">
        <v>340</v>
      </c>
      <c r="Z39" s="89" t="s">
        <v>340</v>
      </c>
    </row>
    <row r="40" spans="1:26" ht="25.5" x14ac:dyDescent="0.2">
      <c r="A40" s="79"/>
      <c r="B40" s="51" t="str">
        <f>VLOOKUP("&lt;T2Zeilentitel_6.9&gt;",Uebersetzungen!$B$3:$E$194,Uebersetzungen!$B$2+1,FALSE)</f>
        <v>Lernende in dualer beruflicher Grundbildung (Lehrlinge)</v>
      </c>
      <c r="C40" s="83">
        <v>2635.7418494780122</v>
      </c>
      <c r="D40" s="59">
        <v>22.722475697722587</v>
      </c>
      <c r="E40" s="18">
        <v>2635.7418494780122</v>
      </c>
      <c r="F40" s="59">
        <v>22.722475697722587</v>
      </c>
      <c r="G40" s="18">
        <v>2635.7418494780122</v>
      </c>
      <c r="H40" s="59">
        <v>22.722475697722587</v>
      </c>
      <c r="I40" s="18">
        <v>2635.7418494780122</v>
      </c>
      <c r="J40" s="59">
        <v>22.722475697722587</v>
      </c>
      <c r="K40" s="18" t="s">
        <v>340</v>
      </c>
      <c r="L40" s="59" t="s">
        <v>340</v>
      </c>
      <c r="M40" s="18" t="s">
        <v>340</v>
      </c>
      <c r="N40" s="59" t="s">
        <v>340</v>
      </c>
      <c r="O40" s="18" t="s">
        <v>340</v>
      </c>
      <c r="P40" s="59" t="s">
        <v>340</v>
      </c>
      <c r="Q40" s="54" t="s">
        <v>340</v>
      </c>
      <c r="R40" s="87" t="s">
        <v>340</v>
      </c>
      <c r="S40" s="54" t="s">
        <v>340</v>
      </c>
      <c r="T40" s="87" t="s">
        <v>340</v>
      </c>
      <c r="U40" s="54" t="s">
        <v>340</v>
      </c>
      <c r="V40" s="87" t="s">
        <v>340</v>
      </c>
      <c r="W40" s="54" t="s">
        <v>340</v>
      </c>
      <c r="X40" s="87" t="s">
        <v>340</v>
      </c>
      <c r="Y40" s="54" t="s">
        <v>340</v>
      </c>
      <c r="Z40" s="89" t="s">
        <v>340</v>
      </c>
    </row>
    <row r="41" spans="1:26" ht="38.25" x14ac:dyDescent="0.2">
      <c r="A41" s="79"/>
      <c r="B41" s="51" t="str">
        <f>VLOOKUP("&lt;T2Zeilentitel_6.10&gt;",Uebersetzungen!$B$3:$E$194,Uebersetzungen!$B$2+1,FALSE)</f>
        <v>Nicht zuteilbare Erwerbstätige (fehlende oder unklare Basisdaten oder unplausible Kombination)</v>
      </c>
      <c r="C41" s="84">
        <v>1453.1300693931605</v>
      </c>
      <c r="D41" s="68">
        <v>31.192680984634489</v>
      </c>
      <c r="E41" s="47">
        <v>1453.1300693931603</v>
      </c>
      <c r="F41" s="68">
        <v>31.192680984634492</v>
      </c>
      <c r="G41" s="47">
        <v>1453.1300693931603</v>
      </c>
      <c r="H41" s="68">
        <v>31.192680984634492</v>
      </c>
      <c r="I41" s="48">
        <v>930.09618124946121</v>
      </c>
      <c r="J41" s="68">
        <v>39.834371077995932</v>
      </c>
      <c r="K41" s="18" t="s">
        <v>340</v>
      </c>
      <c r="L41" s="59" t="s">
        <v>340</v>
      </c>
      <c r="M41" s="48">
        <v>245.33116800333099</v>
      </c>
      <c r="N41" s="68">
        <v>73.968317349632301</v>
      </c>
      <c r="O41" s="48">
        <v>244.23468326997377</v>
      </c>
      <c r="P41" s="68">
        <v>73.157439184325014</v>
      </c>
      <c r="Q41" s="54" t="s">
        <v>340</v>
      </c>
      <c r="R41" s="87" t="s">
        <v>340</v>
      </c>
      <c r="S41" s="54" t="s">
        <v>340</v>
      </c>
      <c r="T41" s="87" t="s">
        <v>340</v>
      </c>
      <c r="U41" s="54" t="s">
        <v>340</v>
      </c>
      <c r="V41" s="87" t="s">
        <v>340</v>
      </c>
      <c r="W41" s="54" t="s">
        <v>340</v>
      </c>
      <c r="X41" s="87" t="s">
        <v>340</v>
      </c>
      <c r="Y41" s="54" t="s">
        <v>340</v>
      </c>
      <c r="Z41" s="89" t="s">
        <v>340</v>
      </c>
    </row>
    <row r="42" spans="1:26" ht="25.5" x14ac:dyDescent="0.2">
      <c r="A42" s="79"/>
      <c r="B42" s="51" t="str">
        <f>VLOOKUP("&lt;T2Zeilentitel_6.11&gt;",Uebersetzungen!$B$3:$E$194,Uebersetzungen!$B$2+1,FALSE)</f>
        <v>Erwerbslose und Nichterwerbspersonen</v>
      </c>
      <c r="C42" s="83">
        <v>65786.672976606511</v>
      </c>
      <c r="D42" s="59">
        <v>3.5246268704900312</v>
      </c>
      <c r="E42" s="18">
        <v>2284.4069618137946</v>
      </c>
      <c r="F42" s="59">
        <v>25.177421180026492</v>
      </c>
      <c r="G42" s="18" t="s">
        <v>340</v>
      </c>
      <c r="H42" s="59" t="s">
        <v>340</v>
      </c>
      <c r="I42" s="18" t="s">
        <v>340</v>
      </c>
      <c r="J42" s="59" t="s">
        <v>340</v>
      </c>
      <c r="K42" s="18" t="s">
        <v>340</v>
      </c>
      <c r="L42" s="59" t="s">
        <v>340</v>
      </c>
      <c r="M42" s="18" t="s">
        <v>340</v>
      </c>
      <c r="N42" s="59" t="s">
        <v>340</v>
      </c>
      <c r="O42" s="18" t="s">
        <v>340</v>
      </c>
      <c r="P42" s="59" t="s">
        <v>340</v>
      </c>
      <c r="Q42" s="18">
        <v>2284.4069618137946</v>
      </c>
      <c r="R42" s="59">
        <v>25.177421180026492</v>
      </c>
      <c r="S42" s="18">
        <v>7637.9555216869303</v>
      </c>
      <c r="T42" s="59">
        <v>13.317534438374798</v>
      </c>
      <c r="U42" s="18">
        <v>4707.2208458539008</v>
      </c>
      <c r="V42" s="59">
        <v>16.889738278472805</v>
      </c>
      <c r="W42" s="18">
        <v>46489.468430494446</v>
      </c>
      <c r="X42" s="59">
        <v>4.4380017441607755</v>
      </c>
      <c r="Y42" s="18">
        <v>4667.6212167574386</v>
      </c>
      <c r="Z42" s="70">
        <v>17.692917861685117</v>
      </c>
    </row>
    <row r="43" spans="1:26" x14ac:dyDescent="0.2">
      <c r="A43" s="80" t="str">
        <f>VLOOKUP("&lt;T2Zeilentitel_7&gt;",Uebersetzungen!$B$3:$E$194,Uebersetzungen!$B$2+1,FALSE)</f>
        <v>Höchste abgeschlossene Ausbildung</v>
      </c>
      <c r="B43" s="52" t="str">
        <f>VLOOKUP("&lt;T2Zeilentitel_7.1&gt;",Uebersetzungen!$B$3:$E$194,Uebersetzungen!$B$2+1,FALSE)</f>
        <v>Obligatorische Schule</v>
      </c>
      <c r="C43" s="94">
        <v>32938.137101366097</v>
      </c>
      <c r="D43" s="95">
        <v>5.9139819080388412</v>
      </c>
      <c r="E43" s="94">
        <v>13524.794438768833</v>
      </c>
      <c r="F43" s="95">
        <v>10.170521570172589</v>
      </c>
      <c r="G43" s="94">
        <v>13045.770213249396</v>
      </c>
      <c r="H43" s="95">
        <v>10.358478493584411</v>
      </c>
      <c r="I43" s="94">
        <v>10454.462155676842</v>
      </c>
      <c r="J43" s="95">
        <v>11.771045663238697</v>
      </c>
      <c r="K43" s="96">
        <v>604.82304528570273</v>
      </c>
      <c r="L43" s="97">
        <v>48.5891315377335</v>
      </c>
      <c r="M43" s="98">
        <v>1030.3821649498825</v>
      </c>
      <c r="N43" s="97">
        <v>36.680291687186987</v>
      </c>
      <c r="O43" s="96">
        <v>956.10284733697222</v>
      </c>
      <c r="P43" s="97">
        <v>37.258877866393775</v>
      </c>
      <c r="Q43" s="96">
        <v>479.02422551944017</v>
      </c>
      <c r="R43" s="97">
        <v>57.343976003076349</v>
      </c>
      <c r="S43" s="94">
        <v>4650.3485248962588</v>
      </c>
      <c r="T43" s="95">
        <v>16.744008296750454</v>
      </c>
      <c r="U43" s="98">
        <v>1368.279805577713</v>
      </c>
      <c r="V43" s="97">
        <v>32.455475042251408</v>
      </c>
      <c r="W43" s="94">
        <v>11787.840217137469</v>
      </c>
      <c r="X43" s="95">
        <v>10.107306406274308</v>
      </c>
      <c r="Y43" s="98">
        <v>1606.8741149858163</v>
      </c>
      <c r="Z43" s="99">
        <v>30.339023306756538</v>
      </c>
    </row>
    <row r="44" spans="1:26" x14ac:dyDescent="0.2">
      <c r="A44" s="79"/>
      <c r="B44" s="51" t="str">
        <f>VLOOKUP("&lt;T2Zeilentitel_7.2&gt;",Uebersetzungen!$B$3:$E$194,Uebersetzungen!$B$2+1,FALSE)</f>
        <v>Sekundarstufe II</v>
      </c>
      <c r="C44" s="83">
        <v>81217.846845221866</v>
      </c>
      <c r="D44" s="59">
        <v>3.0408354358789005</v>
      </c>
      <c r="E44" s="18">
        <v>53370.783263184683</v>
      </c>
      <c r="F44" s="59">
        <v>4.3261692040077326</v>
      </c>
      <c r="G44" s="18">
        <v>52233.129628803486</v>
      </c>
      <c r="H44" s="59">
        <v>4.3900365943543989</v>
      </c>
      <c r="I44" s="18">
        <v>35503.662039301416</v>
      </c>
      <c r="J44" s="59">
        <v>5.7316699576856758</v>
      </c>
      <c r="K44" s="18">
        <v>5025.1194879620944</v>
      </c>
      <c r="L44" s="59">
        <v>16.128737170952828</v>
      </c>
      <c r="M44" s="18">
        <v>5185.9881065174213</v>
      </c>
      <c r="N44" s="59">
        <v>15.876027516166273</v>
      </c>
      <c r="O44" s="18">
        <v>6518.3599950226444</v>
      </c>
      <c r="P44" s="59">
        <v>13.913348924717086</v>
      </c>
      <c r="Q44" s="47">
        <v>1137.6536343812163</v>
      </c>
      <c r="R44" s="68">
        <v>35.488477561382169</v>
      </c>
      <c r="S44" s="18">
        <v>2232.0643487059669</v>
      </c>
      <c r="T44" s="59">
        <v>25.637074383623613</v>
      </c>
      <c r="U44" s="18">
        <v>2202.6726974325279</v>
      </c>
      <c r="V44" s="59">
        <v>24.460914964016553</v>
      </c>
      <c r="W44" s="18">
        <v>21976.769031303662</v>
      </c>
      <c r="X44" s="59">
        <v>7.0551076167597371</v>
      </c>
      <c r="Y44" s="47">
        <v>1435.5575045949247</v>
      </c>
      <c r="Z44" s="71">
        <v>31.987945111307482</v>
      </c>
    </row>
    <row r="45" spans="1:26" ht="13.5" thickBot="1" x14ac:dyDescent="0.25">
      <c r="A45" s="81"/>
      <c r="B45" s="82" t="str">
        <f>VLOOKUP("&lt;T2Zeilentitel_7.3&gt;",Uebersetzungen!$B$3:$E$194,Uebersetzungen!$B$2+1,FALSE)</f>
        <v>Tertiärstufe</v>
      </c>
      <c r="C45" s="85">
        <v>61821.016053407577</v>
      </c>
      <c r="D45" s="63">
        <v>3.737517018591265</v>
      </c>
      <c r="E45" s="62">
        <v>45579.156283249155</v>
      </c>
      <c r="F45" s="63">
        <v>4.6712264424595844</v>
      </c>
      <c r="G45" s="62">
        <v>44911.42718133601</v>
      </c>
      <c r="H45" s="63">
        <v>4.7147900181177498</v>
      </c>
      <c r="I45" s="62">
        <v>30394.155391891636</v>
      </c>
      <c r="J45" s="63">
        <v>6.1091349182332806</v>
      </c>
      <c r="K45" s="62">
        <v>5288.1713175603127</v>
      </c>
      <c r="L45" s="63">
        <v>15.517673307939763</v>
      </c>
      <c r="M45" s="62">
        <v>4449.5057305619766</v>
      </c>
      <c r="N45" s="63">
        <v>16.748336121501179</v>
      </c>
      <c r="O45" s="62">
        <v>4779.5947413221147</v>
      </c>
      <c r="P45" s="63">
        <v>15.959634173398694</v>
      </c>
      <c r="Q45" s="88">
        <v>667.72910191313781</v>
      </c>
      <c r="R45" s="69">
        <v>46.112389305753979</v>
      </c>
      <c r="S45" s="88">
        <v>755.54264808469907</v>
      </c>
      <c r="T45" s="69">
        <v>46.704192955906194</v>
      </c>
      <c r="U45" s="49">
        <v>1136.2683428436599</v>
      </c>
      <c r="V45" s="69">
        <v>34.680996005331991</v>
      </c>
      <c r="W45" s="62">
        <v>12724.85918205334</v>
      </c>
      <c r="X45" s="63">
        <v>9.5498707210336988</v>
      </c>
      <c r="Y45" s="49">
        <v>1625.1895971766985</v>
      </c>
      <c r="Z45" s="90">
        <v>30.422831836177028</v>
      </c>
    </row>
    <row r="46" spans="1:26" x14ac:dyDescent="0.2">
      <c r="A46" s="15"/>
    </row>
    <row r="47" spans="1:26" x14ac:dyDescent="0.2">
      <c r="A47" s="1" t="str">
        <f>VLOOKUP("&lt;Legende_1&gt;",Uebersetzungen!$B$3:$E$199,Uebersetzungen!$B$2+1,FALSE)</f>
        <v>(): Extrapolation aufgrund von 49 oder weniger Beobachtungen. Die Resultate sind mit grosser Vorsicht zu interpretieren.</v>
      </c>
    </row>
    <row r="48" spans="1:26" x14ac:dyDescent="0.2">
      <c r="A48" s="1" t="str">
        <f>VLOOKUP("&lt;Legende_2&gt;",Uebersetzungen!$B$3:$E$199,Uebersetzungen!$B$2+1,FALSE)</f>
        <v>X: Extrapolation aufgrund von 4 oder weniger Beobachtungen. Die Resultate werden aus Gründen des Datenschutzes nicht publiziert.</v>
      </c>
    </row>
    <row r="49" spans="1:1" x14ac:dyDescent="0.2">
      <c r="A49" s="1" t="str">
        <f>VLOOKUP("&lt;Legende_3&gt;",Uebersetzungen!$B$3:$E$199,Uebersetzungen!$B$2+1,FALSE)</f>
        <v>Die Grundgesamtheit der Strukturerhebung enthält alle Personen der ständigen Wohnbevölkerung ab vollendetem 15. Altersjahr, die in Privathaushalten leben.</v>
      </c>
    </row>
    <row r="50" spans="1:1" x14ac:dyDescent="0.2">
      <c r="A50" s="1" t="str">
        <f>VLOOKUP("&lt;Legende_4&gt;",Uebersetzungen!$B$3:$E$199,Uebersetzungen!$B$2+1,FALSE)</f>
        <v>Aus der Grundgesamtheit ausgeschlossen wurden neben den Personen, die in Kollektivhaushalten leben, auch Diplomaten, internationale Funktionäre und deren Angehörige.</v>
      </c>
    </row>
    <row r="52" spans="1:1" x14ac:dyDescent="0.2">
      <c r="A52" s="1" t="str">
        <f>VLOOKUP("&lt;quelle_1&gt;",Uebersetzungen!$B$3:$E$199,Uebersetzungen!$B$2+1,FALSE)</f>
        <v>Quelle: BFS (Strukturerhebung)</v>
      </c>
    </row>
    <row r="53" spans="1:1" x14ac:dyDescent="0.2">
      <c r="A53" s="1" t="str">
        <f>VLOOKUP("&lt;aktualisierung&gt;",Uebersetzungen!$B$3:$E$199,Uebersetzungen!$B$2+1,FALSE)</f>
        <v>Letztmals aktualisiert am: 29.01.2026</v>
      </c>
    </row>
  </sheetData>
  <sheetProtection sheet="1" objects="1" scenarios="1"/>
  <mergeCells count="13">
    <mergeCell ref="S13:T13"/>
    <mergeCell ref="U13:V13"/>
    <mergeCell ref="W13:X13"/>
    <mergeCell ref="Y13:Z13"/>
    <mergeCell ref="C12:Z12"/>
    <mergeCell ref="C13:D13"/>
    <mergeCell ref="E13:F13"/>
    <mergeCell ref="G13:H13"/>
    <mergeCell ref="I13:J13"/>
    <mergeCell ref="K13:L13"/>
    <mergeCell ref="M13:N13"/>
    <mergeCell ref="O13:P13"/>
    <mergeCell ref="Q13:R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3</xdr:col>
                    <xdr:colOff>542925</xdr:colOff>
                    <xdr:row>1</xdr:row>
                    <xdr:rowOff>123825</xdr:rowOff>
                  </from>
                  <to>
                    <xdr:col>5</xdr:col>
                    <xdr:colOff>19050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Option Button 5">
              <controlPr defaultSize="0" autoFill="0" autoLine="0" autoPict="0">
                <anchor moveWithCells="1">
                  <from>
                    <xdr:col>3</xdr:col>
                    <xdr:colOff>542925</xdr:colOff>
                    <xdr:row>2</xdr:row>
                    <xdr:rowOff>104775</xdr:rowOff>
                  </from>
                  <to>
                    <xdr:col>5</xdr:col>
                    <xdr:colOff>409575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3</xdr:col>
                    <xdr:colOff>542925</xdr:colOff>
                    <xdr:row>3</xdr:row>
                    <xdr:rowOff>76200</xdr:rowOff>
                  </from>
                  <to>
                    <xdr:col>5</xdr:col>
                    <xdr:colOff>19050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3"/>
  <sheetViews>
    <sheetView topLeftCell="A53" workbookViewId="0">
      <selection activeCell="G101" sqref="G101"/>
    </sheetView>
  </sheetViews>
  <sheetFormatPr baseColWidth="10" defaultColWidth="12.5703125" defaultRowHeight="12.75" x14ac:dyDescent="0.2"/>
  <cols>
    <col min="1" max="1" width="9.85546875" style="33" customWidth="1"/>
    <col min="2" max="2" width="30" style="33" customWidth="1"/>
    <col min="3" max="3" width="78.5703125" style="37" customWidth="1"/>
    <col min="4" max="5" width="53.42578125" style="37" customWidth="1"/>
    <col min="6" max="6" width="22.42578125" style="33" customWidth="1"/>
    <col min="7" max="8" width="12.5703125" style="33"/>
    <col min="9" max="9" width="37.7109375" style="33" customWidth="1"/>
    <col min="10" max="16384" width="12.5703125" style="33"/>
  </cols>
  <sheetData>
    <row r="1" spans="1:6" x14ac:dyDescent="0.2">
      <c r="A1" s="30" t="s">
        <v>2</v>
      </c>
      <c r="B1" s="30" t="s">
        <v>3</v>
      </c>
      <c r="C1" s="31" t="s">
        <v>4</v>
      </c>
      <c r="D1" s="31" t="s">
        <v>5</v>
      </c>
      <c r="E1" s="31" t="s">
        <v>6</v>
      </c>
      <c r="F1" s="32"/>
    </row>
    <row r="2" spans="1:6" ht="12.75" customHeight="1" x14ac:dyDescent="0.2">
      <c r="A2" s="34" t="s">
        <v>7</v>
      </c>
      <c r="B2" s="35">
        <v>1</v>
      </c>
      <c r="C2" s="36"/>
      <c r="D2" s="36"/>
      <c r="E2" s="36"/>
      <c r="F2" s="32"/>
    </row>
    <row r="3" spans="1:6" ht="12.75" customHeight="1" x14ac:dyDescent="0.2">
      <c r="A3" s="34"/>
      <c r="B3" s="33" t="s">
        <v>8</v>
      </c>
      <c r="C3" s="37" t="s">
        <v>9</v>
      </c>
      <c r="D3" s="37" t="s">
        <v>10</v>
      </c>
      <c r="E3" s="37" t="s">
        <v>11</v>
      </c>
      <c r="F3" s="32"/>
    </row>
    <row r="4" spans="1:6" ht="12.75" customHeight="1" x14ac:dyDescent="0.2">
      <c r="A4" s="34" t="s">
        <v>12</v>
      </c>
      <c r="B4" s="33" t="s">
        <v>13</v>
      </c>
      <c r="C4" s="37" t="s">
        <v>178</v>
      </c>
      <c r="D4" s="37" t="s">
        <v>209</v>
      </c>
      <c r="E4" s="37" t="s">
        <v>336</v>
      </c>
      <c r="F4" s="32"/>
    </row>
    <row r="5" spans="1:6" ht="12.75" customHeight="1" x14ac:dyDescent="0.2">
      <c r="A5" s="34"/>
      <c r="B5" s="33" t="s">
        <v>14</v>
      </c>
      <c r="C5" s="37" t="s">
        <v>341</v>
      </c>
      <c r="D5" s="37" t="s">
        <v>342</v>
      </c>
      <c r="E5" s="37" t="s">
        <v>343</v>
      </c>
      <c r="F5" s="32"/>
    </row>
    <row r="6" spans="1:6" ht="12.75" customHeight="1" x14ac:dyDescent="0.2">
      <c r="A6" s="34" t="s">
        <v>15</v>
      </c>
      <c r="B6" s="33" t="s">
        <v>16</v>
      </c>
      <c r="C6" s="37" t="s">
        <v>17</v>
      </c>
      <c r="D6" s="37" t="s">
        <v>17</v>
      </c>
      <c r="E6" s="37" t="s">
        <v>18</v>
      </c>
      <c r="F6" s="32"/>
    </row>
    <row r="7" spans="1:6" ht="12.75" customHeight="1" x14ac:dyDescent="0.2">
      <c r="A7" s="34"/>
      <c r="B7" s="33" t="s">
        <v>19</v>
      </c>
      <c r="C7" s="37" t="s">
        <v>20</v>
      </c>
      <c r="D7" s="37" t="s">
        <v>21</v>
      </c>
      <c r="E7" s="37" t="s">
        <v>320</v>
      </c>
      <c r="F7" s="32"/>
    </row>
    <row r="8" spans="1:6" ht="12.75" customHeight="1" x14ac:dyDescent="0.2">
      <c r="A8" s="34"/>
      <c r="B8" s="33" t="s">
        <v>22</v>
      </c>
      <c r="C8" s="37" t="s">
        <v>23</v>
      </c>
      <c r="D8" s="37" t="s">
        <v>24</v>
      </c>
      <c r="E8" s="37" t="s">
        <v>321</v>
      </c>
      <c r="F8" s="32"/>
    </row>
    <row r="9" spans="1:6" ht="12.75" customHeight="1" x14ac:dyDescent="0.2">
      <c r="A9" s="34"/>
      <c r="B9" s="33" t="s">
        <v>25</v>
      </c>
      <c r="C9" s="37" t="s">
        <v>26</v>
      </c>
      <c r="D9" s="37" t="s">
        <v>27</v>
      </c>
      <c r="E9" s="37" t="s">
        <v>322</v>
      </c>
      <c r="F9" s="32"/>
    </row>
    <row r="10" spans="1:6" ht="12.75" customHeight="1" x14ac:dyDescent="0.2">
      <c r="A10" s="34"/>
      <c r="B10" s="33" t="s">
        <v>28</v>
      </c>
      <c r="C10" s="37" t="s">
        <v>29</v>
      </c>
      <c r="D10" s="37" t="s">
        <v>30</v>
      </c>
      <c r="E10" s="37" t="s">
        <v>323</v>
      </c>
      <c r="F10" s="32"/>
    </row>
    <row r="11" spans="1:6" ht="12.75" customHeight="1" x14ac:dyDescent="0.2">
      <c r="A11" s="34"/>
      <c r="B11" s="33" t="s">
        <v>31</v>
      </c>
      <c r="C11" s="37" t="s">
        <v>32</v>
      </c>
      <c r="D11" s="37" t="s">
        <v>33</v>
      </c>
      <c r="E11" s="37" t="s">
        <v>324</v>
      </c>
      <c r="F11" s="32"/>
    </row>
    <row r="12" spans="1:6" ht="12.75" customHeight="1" x14ac:dyDescent="0.2">
      <c r="A12" s="34"/>
      <c r="B12" s="33" t="s">
        <v>34</v>
      </c>
      <c r="C12" s="37" t="s">
        <v>35</v>
      </c>
      <c r="D12" s="37" t="s">
        <v>36</v>
      </c>
      <c r="E12" s="37" t="s">
        <v>325</v>
      </c>
      <c r="F12" s="32"/>
    </row>
    <row r="13" spans="1:6" ht="12.75" customHeight="1" x14ac:dyDescent="0.2">
      <c r="A13" s="34"/>
      <c r="B13" s="33" t="s">
        <v>37</v>
      </c>
      <c r="C13" s="37" t="s">
        <v>38</v>
      </c>
      <c r="D13" s="37" t="s">
        <v>39</v>
      </c>
      <c r="E13" s="37" t="s">
        <v>326</v>
      </c>
      <c r="F13" s="32"/>
    </row>
    <row r="14" spans="1:6" ht="12.75" customHeight="1" x14ac:dyDescent="0.2">
      <c r="A14" s="34"/>
      <c r="B14" s="33" t="s">
        <v>40</v>
      </c>
      <c r="C14" s="37" t="s">
        <v>41</v>
      </c>
      <c r="D14" s="37" t="s">
        <v>42</v>
      </c>
      <c r="E14" s="37" t="s">
        <v>327</v>
      </c>
      <c r="F14" s="32"/>
    </row>
    <row r="15" spans="1:6" ht="12.75" customHeight="1" x14ac:dyDescent="0.2">
      <c r="A15" s="34"/>
      <c r="B15" s="33" t="s">
        <v>43</v>
      </c>
      <c r="C15" s="37" t="s">
        <v>44</v>
      </c>
      <c r="D15" s="37" t="s">
        <v>45</v>
      </c>
      <c r="E15" s="37" t="s">
        <v>328</v>
      </c>
      <c r="F15" s="32"/>
    </row>
    <row r="16" spans="1:6" ht="12.75" customHeight="1" x14ac:dyDescent="0.2">
      <c r="A16" s="34"/>
      <c r="B16" s="33" t="s">
        <v>46</v>
      </c>
      <c r="C16" s="37" t="s">
        <v>47</v>
      </c>
      <c r="D16" s="37" t="s">
        <v>48</v>
      </c>
      <c r="E16" s="37" t="s">
        <v>329</v>
      </c>
      <c r="F16" s="32"/>
    </row>
    <row r="17" spans="1:6" ht="12.75" customHeight="1" x14ac:dyDescent="0.2">
      <c r="A17" s="34"/>
      <c r="B17" s="33" t="s">
        <v>49</v>
      </c>
      <c r="C17" s="37" t="s">
        <v>50</v>
      </c>
      <c r="D17" s="37" t="s">
        <v>51</v>
      </c>
      <c r="E17" s="37" t="s">
        <v>330</v>
      </c>
      <c r="F17" s="32"/>
    </row>
    <row r="18" spans="1:6" ht="12.75" customHeight="1" x14ac:dyDescent="0.2">
      <c r="A18" s="34"/>
      <c r="B18" s="33" t="s">
        <v>52</v>
      </c>
      <c r="C18" s="37" t="s">
        <v>0</v>
      </c>
      <c r="D18" s="37" t="s">
        <v>53</v>
      </c>
      <c r="E18" s="37" t="s">
        <v>54</v>
      </c>
      <c r="F18" s="32"/>
    </row>
    <row r="19" spans="1:6" ht="12.75" customHeight="1" x14ac:dyDescent="0.2">
      <c r="A19" s="34"/>
      <c r="B19" s="33" t="s">
        <v>55</v>
      </c>
      <c r="C19" s="37" t="s">
        <v>56</v>
      </c>
      <c r="D19" s="37" t="s">
        <v>57</v>
      </c>
      <c r="E19" s="37" t="s">
        <v>58</v>
      </c>
      <c r="F19" s="32"/>
    </row>
    <row r="20" spans="1:6" ht="12.75" customHeight="1" x14ac:dyDescent="0.2">
      <c r="A20" s="34"/>
      <c r="B20" s="32"/>
      <c r="C20" s="38"/>
      <c r="D20" s="38"/>
      <c r="E20" s="38"/>
      <c r="F20" s="32"/>
    </row>
    <row r="21" spans="1:6" ht="12.75" customHeight="1" x14ac:dyDescent="0.2">
      <c r="A21" s="34" t="s">
        <v>12</v>
      </c>
      <c r="B21" s="33" t="s">
        <v>59</v>
      </c>
      <c r="C21" s="37" t="s">
        <v>17</v>
      </c>
      <c r="D21" s="37" t="s">
        <v>17</v>
      </c>
      <c r="E21" s="37" t="s">
        <v>18</v>
      </c>
      <c r="F21" s="32"/>
    </row>
    <row r="22" spans="1:6" ht="12.75" customHeight="1" x14ac:dyDescent="0.2">
      <c r="A22" s="32"/>
      <c r="B22" s="33" t="s">
        <v>60</v>
      </c>
      <c r="C22" s="37" t="s">
        <v>61</v>
      </c>
      <c r="D22" s="37" t="s">
        <v>62</v>
      </c>
      <c r="E22" s="37" t="s">
        <v>63</v>
      </c>
      <c r="F22" s="32"/>
    </row>
    <row r="23" spans="1:6" ht="12.75" customHeight="1" x14ac:dyDescent="0.2">
      <c r="A23" s="32"/>
      <c r="F23" s="32"/>
    </row>
    <row r="24" spans="1:6" ht="12.75" customHeight="1" x14ac:dyDescent="0.2">
      <c r="A24" s="32"/>
      <c r="B24" s="33" t="s">
        <v>64</v>
      </c>
      <c r="C24" s="39" t="s">
        <v>65</v>
      </c>
      <c r="D24" s="40" t="s">
        <v>66</v>
      </c>
      <c r="E24" s="40" t="s">
        <v>67</v>
      </c>
      <c r="F24" s="32"/>
    </row>
    <row r="25" spans="1:6" ht="12.75" customHeight="1" x14ac:dyDescent="0.2">
      <c r="A25" s="32"/>
      <c r="B25" s="33" t="s">
        <v>68</v>
      </c>
      <c r="C25" s="39" t="s">
        <v>69</v>
      </c>
      <c r="D25" s="40" t="s">
        <v>70</v>
      </c>
      <c r="E25" s="40" t="s">
        <v>70</v>
      </c>
      <c r="F25" s="32"/>
    </row>
    <row r="26" spans="1:6" x14ac:dyDescent="0.2">
      <c r="A26" s="32"/>
      <c r="B26" s="33" t="s">
        <v>71</v>
      </c>
      <c r="C26" s="39" t="s">
        <v>72</v>
      </c>
      <c r="D26" s="40" t="s">
        <v>73</v>
      </c>
      <c r="E26" s="40" t="s">
        <v>73</v>
      </c>
      <c r="F26" s="32"/>
    </row>
    <row r="27" spans="1:6" x14ac:dyDescent="0.2">
      <c r="A27" s="32"/>
      <c r="B27" s="33" t="s">
        <v>74</v>
      </c>
      <c r="C27" s="39" t="s">
        <v>75</v>
      </c>
      <c r="D27" s="40" t="s">
        <v>75</v>
      </c>
      <c r="E27" s="40" t="s">
        <v>75</v>
      </c>
      <c r="F27" s="32"/>
    </row>
    <row r="28" spans="1:6" x14ac:dyDescent="0.2">
      <c r="A28" s="32"/>
      <c r="B28" s="33" t="s">
        <v>76</v>
      </c>
      <c r="C28" s="39" t="s">
        <v>77</v>
      </c>
      <c r="D28" s="40" t="s">
        <v>78</v>
      </c>
      <c r="E28" s="40" t="s">
        <v>79</v>
      </c>
      <c r="F28" s="32"/>
    </row>
    <row r="29" spans="1:6" x14ac:dyDescent="0.2">
      <c r="A29" s="32"/>
      <c r="B29" s="33" t="s">
        <v>80</v>
      </c>
      <c r="C29" s="39" t="s">
        <v>81</v>
      </c>
      <c r="D29" s="40" t="s">
        <v>82</v>
      </c>
      <c r="E29" s="40" t="s">
        <v>83</v>
      </c>
      <c r="F29" s="32"/>
    </row>
    <row r="30" spans="1:6" x14ac:dyDescent="0.2">
      <c r="A30" s="32"/>
      <c r="B30" s="33" t="s">
        <v>84</v>
      </c>
      <c r="C30" s="39" t="s">
        <v>85</v>
      </c>
      <c r="D30" s="40" t="s">
        <v>86</v>
      </c>
      <c r="E30" s="40" t="s">
        <v>87</v>
      </c>
      <c r="F30" s="32"/>
    </row>
    <row r="31" spans="1:6" x14ac:dyDescent="0.2">
      <c r="A31" s="32"/>
      <c r="B31" s="33" t="s">
        <v>88</v>
      </c>
      <c r="C31" s="39" t="s">
        <v>89</v>
      </c>
      <c r="D31" s="40" t="s">
        <v>90</v>
      </c>
      <c r="E31" s="40" t="s">
        <v>91</v>
      </c>
      <c r="F31" s="32"/>
    </row>
    <row r="32" spans="1:6" x14ac:dyDescent="0.2">
      <c r="A32" s="32"/>
      <c r="B32" s="33" t="s">
        <v>92</v>
      </c>
      <c r="C32" s="39" t="s">
        <v>93</v>
      </c>
      <c r="D32" s="40" t="s">
        <v>93</v>
      </c>
      <c r="E32" s="40" t="s">
        <v>94</v>
      </c>
      <c r="F32" s="32"/>
    </row>
    <row r="33" spans="1:6" x14ac:dyDescent="0.2">
      <c r="A33" s="32"/>
      <c r="B33" s="33" t="s">
        <v>95</v>
      </c>
      <c r="C33" s="39" t="s">
        <v>96</v>
      </c>
      <c r="D33" s="40" t="s">
        <v>97</v>
      </c>
      <c r="E33" s="40" t="s">
        <v>98</v>
      </c>
      <c r="F33" s="32"/>
    </row>
    <row r="34" spans="1:6" x14ac:dyDescent="0.2">
      <c r="A34" s="32"/>
      <c r="B34" s="33" t="s">
        <v>99</v>
      </c>
      <c r="C34" s="39" t="s">
        <v>100</v>
      </c>
      <c r="D34" s="40" t="s">
        <v>101</v>
      </c>
      <c r="E34" s="40" t="s">
        <v>102</v>
      </c>
      <c r="F34" s="32"/>
    </row>
    <row r="35" spans="1:6" x14ac:dyDescent="0.2">
      <c r="A35" s="32"/>
      <c r="B35" s="33" t="s">
        <v>103</v>
      </c>
      <c r="C35" s="39" t="s">
        <v>104</v>
      </c>
      <c r="D35" s="40" t="s">
        <v>105</v>
      </c>
      <c r="E35" s="40" t="s">
        <v>106</v>
      </c>
      <c r="F35" s="32"/>
    </row>
    <row r="36" spans="1:6" x14ac:dyDescent="0.2">
      <c r="A36" s="32"/>
      <c r="B36" s="33" t="s">
        <v>107</v>
      </c>
      <c r="C36" s="39" t="s">
        <v>108</v>
      </c>
      <c r="D36" s="40" t="s">
        <v>109</v>
      </c>
      <c r="E36" s="40" t="s">
        <v>110</v>
      </c>
      <c r="F36" s="32"/>
    </row>
    <row r="37" spans="1:6" x14ac:dyDescent="0.2">
      <c r="A37" s="32"/>
      <c r="B37" s="33" t="s">
        <v>111</v>
      </c>
      <c r="C37" s="39" t="s">
        <v>112</v>
      </c>
      <c r="D37" s="40" t="s">
        <v>113</v>
      </c>
      <c r="E37" s="40" t="s">
        <v>114</v>
      </c>
      <c r="F37" s="32"/>
    </row>
    <row r="38" spans="1:6" x14ac:dyDescent="0.2">
      <c r="A38" s="32"/>
      <c r="B38" s="33" t="s">
        <v>115</v>
      </c>
      <c r="C38" s="39" t="s">
        <v>116</v>
      </c>
      <c r="D38" s="40" t="s">
        <v>117</v>
      </c>
      <c r="E38" s="40" t="s">
        <v>118</v>
      </c>
      <c r="F38" s="32"/>
    </row>
    <row r="39" spans="1:6" x14ac:dyDescent="0.2">
      <c r="A39" s="32"/>
      <c r="B39" s="33" t="s">
        <v>119</v>
      </c>
      <c r="C39" s="39" t="s">
        <v>120</v>
      </c>
      <c r="D39" s="40" t="s">
        <v>121</v>
      </c>
      <c r="E39" s="40" t="s">
        <v>122</v>
      </c>
      <c r="F39" s="32"/>
    </row>
    <row r="40" spans="1:6" x14ac:dyDescent="0.2">
      <c r="A40" s="32"/>
      <c r="B40" s="33" t="s">
        <v>123</v>
      </c>
      <c r="C40" s="39" t="s">
        <v>124</v>
      </c>
      <c r="D40" s="40" t="s">
        <v>125</v>
      </c>
      <c r="E40" s="40" t="s">
        <v>126</v>
      </c>
      <c r="F40" s="32"/>
    </row>
    <row r="41" spans="1:6" x14ac:dyDescent="0.2">
      <c r="A41" s="32"/>
      <c r="B41" s="33" t="s">
        <v>127</v>
      </c>
      <c r="C41" s="39" t="s">
        <v>128</v>
      </c>
      <c r="D41" s="40" t="s">
        <v>129</v>
      </c>
      <c r="E41" s="40" t="s">
        <v>130</v>
      </c>
      <c r="F41" s="32"/>
    </row>
    <row r="42" spans="1:6" x14ac:dyDescent="0.2">
      <c r="A42" s="32"/>
      <c r="B42" s="33" t="s">
        <v>131</v>
      </c>
      <c r="C42" s="39" t="s">
        <v>132</v>
      </c>
      <c r="D42" s="40" t="s">
        <v>133</v>
      </c>
      <c r="E42" s="40" t="s">
        <v>133</v>
      </c>
      <c r="F42" s="32"/>
    </row>
    <row r="43" spans="1:6" x14ac:dyDescent="0.2">
      <c r="A43" s="32"/>
      <c r="B43" s="33" t="s">
        <v>134</v>
      </c>
      <c r="C43" s="39" t="s">
        <v>135</v>
      </c>
      <c r="D43" s="40" t="s">
        <v>136</v>
      </c>
      <c r="E43" s="40" t="s">
        <v>136</v>
      </c>
      <c r="F43" s="32"/>
    </row>
    <row r="44" spans="1:6" x14ac:dyDescent="0.2">
      <c r="A44" s="32"/>
      <c r="B44" s="33" t="s">
        <v>137</v>
      </c>
      <c r="C44" s="39" t="s">
        <v>138</v>
      </c>
      <c r="D44" s="40" t="s">
        <v>139</v>
      </c>
      <c r="E44" s="40" t="s">
        <v>138</v>
      </c>
      <c r="F44" s="32"/>
    </row>
    <row r="45" spans="1:6" x14ac:dyDescent="0.2">
      <c r="A45" s="32"/>
      <c r="B45" s="33" t="s">
        <v>140</v>
      </c>
      <c r="C45" s="39" t="s">
        <v>141</v>
      </c>
      <c r="D45" s="40" t="s">
        <v>142</v>
      </c>
      <c r="E45" s="40" t="s">
        <v>141</v>
      </c>
      <c r="F45" s="32"/>
    </row>
    <row r="46" spans="1:6" x14ac:dyDescent="0.2">
      <c r="A46" s="32"/>
      <c r="B46" s="33" t="s">
        <v>143</v>
      </c>
      <c r="C46" s="39" t="s">
        <v>144</v>
      </c>
      <c r="D46" s="40" t="s">
        <v>145</v>
      </c>
      <c r="E46" s="40" t="s">
        <v>146</v>
      </c>
      <c r="F46" s="32"/>
    </row>
    <row r="47" spans="1:6" x14ac:dyDescent="0.2">
      <c r="A47" s="32"/>
      <c r="B47" s="33" t="s">
        <v>147</v>
      </c>
      <c r="C47" s="39" t="s">
        <v>148</v>
      </c>
      <c r="D47" s="40" t="s">
        <v>148</v>
      </c>
      <c r="E47" s="40" t="s">
        <v>148</v>
      </c>
      <c r="F47" s="32"/>
    </row>
    <row r="48" spans="1:6" x14ac:dyDescent="0.2">
      <c r="A48" s="32"/>
      <c r="B48" s="33" t="s">
        <v>149</v>
      </c>
      <c r="C48" s="39" t="s">
        <v>150</v>
      </c>
      <c r="D48" s="40" t="s">
        <v>151</v>
      </c>
      <c r="E48" s="40" t="s">
        <v>152</v>
      </c>
      <c r="F48" s="32"/>
    </row>
    <row r="49" spans="1:6" x14ac:dyDescent="0.2">
      <c r="A49" s="32"/>
      <c r="B49" s="33" t="s">
        <v>153</v>
      </c>
      <c r="C49" s="39" t="s">
        <v>154</v>
      </c>
      <c r="D49" s="40" t="s">
        <v>155</v>
      </c>
      <c r="E49" s="40" t="s">
        <v>155</v>
      </c>
      <c r="F49" s="32"/>
    </row>
    <row r="50" spans="1:6" x14ac:dyDescent="0.2">
      <c r="A50" s="32"/>
      <c r="B50" s="32"/>
      <c r="C50" s="38"/>
      <c r="D50" s="38"/>
      <c r="E50" s="38"/>
      <c r="F50" s="32"/>
    </row>
    <row r="51" spans="1:6" ht="25.5" x14ac:dyDescent="0.2">
      <c r="A51" s="34"/>
      <c r="B51" s="33" t="s">
        <v>156</v>
      </c>
      <c r="C51" s="37" t="s">
        <v>157</v>
      </c>
      <c r="D51" s="37" t="s">
        <v>158</v>
      </c>
      <c r="E51" s="37" t="s">
        <v>159</v>
      </c>
      <c r="F51" s="38"/>
    </row>
    <row r="52" spans="1:6" ht="38.25" x14ac:dyDescent="0.2">
      <c r="A52" s="32"/>
      <c r="B52" s="33" t="s">
        <v>160</v>
      </c>
      <c r="C52" s="37" t="s">
        <v>161</v>
      </c>
      <c r="D52" s="37" t="s">
        <v>162</v>
      </c>
      <c r="E52" s="37" t="s">
        <v>163</v>
      </c>
      <c r="F52" s="38"/>
    </row>
    <row r="53" spans="1:6" ht="51" x14ac:dyDescent="0.2">
      <c r="A53" s="32"/>
      <c r="B53" s="33" t="s">
        <v>164</v>
      </c>
      <c r="C53" s="37" t="s">
        <v>165</v>
      </c>
      <c r="D53" s="37" t="s">
        <v>166</v>
      </c>
      <c r="E53" s="37" t="s">
        <v>167</v>
      </c>
      <c r="F53" s="38"/>
    </row>
    <row r="54" spans="1:6" ht="38.25" x14ac:dyDescent="0.2">
      <c r="A54" s="32"/>
      <c r="B54" s="33" t="s">
        <v>168</v>
      </c>
      <c r="C54" s="37" t="s">
        <v>169</v>
      </c>
      <c r="D54" s="37" t="s">
        <v>170</v>
      </c>
      <c r="E54" s="37" t="s">
        <v>171</v>
      </c>
      <c r="F54" s="38"/>
    </row>
    <row r="55" spans="1:6" x14ac:dyDescent="0.2">
      <c r="A55" s="32"/>
      <c r="B55" s="33" t="s">
        <v>172</v>
      </c>
      <c r="F55" s="38"/>
    </row>
    <row r="56" spans="1:6" x14ac:dyDescent="0.2">
      <c r="A56" s="32" t="s">
        <v>15</v>
      </c>
      <c r="B56" s="33" t="s">
        <v>173</v>
      </c>
      <c r="C56" s="37" t="s">
        <v>174</v>
      </c>
      <c r="D56" s="37" t="s">
        <v>175</v>
      </c>
      <c r="E56" s="37" t="s">
        <v>176</v>
      </c>
      <c r="F56" s="32"/>
    </row>
    <row r="57" spans="1:6" x14ac:dyDescent="0.2">
      <c r="A57" s="32" t="s">
        <v>12</v>
      </c>
      <c r="B57" s="41" t="s">
        <v>177</v>
      </c>
      <c r="C57" s="42" t="s">
        <v>337</v>
      </c>
      <c r="D57" s="42" t="s">
        <v>338</v>
      </c>
      <c r="E57" s="42" t="s">
        <v>339</v>
      </c>
      <c r="F57" s="32"/>
    </row>
    <row r="58" spans="1:6" x14ac:dyDescent="0.2">
      <c r="A58" s="32"/>
      <c r="B58" s="32"/>
      <c r="C58" s="38"/>
      <c r="D58" s="38"/>
      <c r="E58" s="38"/>
      <c r="F58" s="32"/>
    </row>
    <row r="59" spans="1:6" x14ac:dyDescent="0.2">
      <c r="A59" s="32" t="s">
        <v>210</v>
      </c>
      <c r="B59" s="33" t="s">
        <v>318</v>
      </c>
      <c r="C59" s="37" t="s">
        <v>333</v>
      </c>
      <c r="D59" s="37" t="s">
        <v>334</v>
      </c>
      <c r="E59" s="37" t="s">
        <v>335</v>
      </c>
      <c r="F59" s="32"/>
    </row>
    <row r="60" spans="1:6" x14ac:dyDescent="0.2">
      <c r="A60" s="32"/>
      <c r="B60" s="32"/>
      <c r="C60" s="38"/>
      <c r="D60" s="38"/>
      <c r="E60" s="38"/>
      <c r="F60" s="32"/>
    </row>
    <row r="61" spans="1:6" x14ac:dyDescent="0.2">
      <c r="A61" s="34" t="s">
        <v>210</v>
      </c>
      <c r="B61" s="33" t="s">
        <v>211</v>
      </c>
      <c r="C61" s="37" t="s">
        <v>17</v>
      </c>
      <c r="D61" s="37" t="s">
        <v>17</v>
      </c>
      <c r="E61" s="37" t="s">
        <v>18</v>
      </c>
      <c r="F61" s="32"/>
    </row>
    <row r="62" spans="1:6" x14ac:dyDescent="0.2">
      <c r="A62" s="32"/>
      <c r="B62" s="33" t="s">
        <v>212</v>
      </c>
      <c r="C62" s="37" t="s">
        <v>179</v>
      </c>
      <c r="D62" s="37" t="s">
        <v>213</v>
      </c>
      <c r="E62" s="37" t="s">
        <v>214</v>
      </c>
      <c r="F62" s="32"/>
    </row>
    <row r="63" spans="1:6" x14ac:dyDescent="0.2">
      <c r="A63" s="32"/>
      <c r="B63" s="33" t="s">
        <v>215</v>
      </c>
      <c r="C63" s="37" t="s">
        <v>182</v>
      </c>
      <c r="D63" s="43" t="s">
        <v>216</v>
      </c>
      <c r="E63" s="37" t="s">
        <v>217</v>
      </c>
      <c r="F63" s="32"/>
    </row>
    <row r="64" spans="1:6" x14ac:dyDescent="0.2">
      <c r="A64" s="32"/>
      <c r="B64" s="33" t="s">
        <v>218</v>
      </c>
      <c r="C64" s="37" t="s">
        <v>187</v>
      </c>
      <c r="D64" s="37" t="s">
        <v>219</v>
      </c>
      <c r="E64" s="37" t="s">
        <v>220</v>
      </c>
      <c r="F64" s="32"/>
    </row>
    <row r="65" spans="1:6" x14ac:dyDescent="0.2">
      <c r="A65" s="32"/>
      <c r="B65" s="33" t="s">
        <v>221</v>
      </c>
      <c r="C65" s="37" t="s">
        <v>190</v>
      </c>
      <c r="D65" s="37" t="s">
        <v>222</v>
      </c>
      <c r="E65" s="37" t="s">
        <v>223</v>
      </c>
      <c r="F65" s="32"/>
    </row>
    <row r="66" spans="1:6" x14ac:dyDescent="0.2">
      <c r="A66" s="32"/>
      <c r="B66" s="33" t="s">
        <v>224</v>
      </c>
      <c r="C66" s="37" t="s">
        <v>196</v>
      </c>
      <c r="D66" s="37" t="s">
        <v>225</v>
      </c>
      <c r="E66" s="37" t="s">
        <v>226</v>
      </c>
      <c r="F66" s="32"/>
    </row>
    <row r="67" spans="1:6" x14ac:dyDescent="0.2">
      <c r="A67" s="32"/>
      <c r="B67" s="33" t="s">
        <v>227</v>
      </c>
      <c r="C67" s="37" t="s">
        <v>206</v>
      </c>
      <c r="D67" s="37" t="s">
        <v>228</v>
      </c>
      <c r="E67" s="37" t="s">
        <v>229</v>
      </c>
      <c r="F67" s="32"/>
    </row>
    <row r="68" spans="1:6" x14ac:dyDescent="0.2">
      <c r="A68" s="32"/>
      <c r="B68" s="33" t="s">
        <v>230</v>
      </c>
      <c r="C68" s="37" t="s">
        <v>180</v>
      </c>
      <c r="D68" s="37" t="s">
        <v>231</v>
      </c>
      <c r="E68" s="37" t="s">
        <v>232</v>
      </c>
      <c r="F68" s="32"/>
    </row>
    <row r="69" spans="1:6" x14ac:dyDescent="0.2">
      <c r="A69" s="32"/>
      <c r="B69" s="33" t="s">
        <v>233</v>
      </c>
      <c r="C69" s="37" t="s">
        <v>181</v>
      </c>
      <c r="D69" s="37" t="s">
        <v>234</v>
      </c>
      <c r="E69" s="37" t="s">
        <v>235</v>
      </c>
      <c r="F69" s="32"/>
    </row>
    <row r="70" spans="1:6" x14ac:dyDescent="0.2">
      <c r="A70" s="32"/>
      <c r="B70" s="33" t="s">
        <v>236</v>
      </c>
      <c r="C70" s="39" t="s">
        <v>183</v>
      </c>
      <c r="D70" s="37" t="s">
        <v>183</v>
      </c>
      <c r="E70" s="37" t="s">
        <v>183</v>
      </c>
      <c r="F70" s="32"/>
    </row>
    <row r="71" spans="1:6" x14ac:dyDescent="0.2">
      <c r="A71" s="32"/>
      <c r="B71" s="33" t="s">
        <v>237</v>
      </c>
      <c r="C71" s="37" t="s">
        <v>184</v>
      </c>
      <c r="D71" s="37" t="s">
        <v>184</v>
      </c>
      <c r="E71" s="37" t="s">
        <v>184</v>
      </c>
      <c r="F71" s="32"/>
    </row>
    <row r="72" spans="1:6" x14ac:dyDescent="0.2">
      <c r="A72" s="32"/>
      <c r="B72" s="33" t="s">
        <v>238</v>
      </c>
      <c r="C72" s="37" t="s">
        <v>185</v>
      </c>
      <c r="D72" s="37" t="s">
        <v>185</v>
      </c>
      <c r="E72" s="37" t="s">
        <v>185</v>
      </c>
      <c r="F72" s="32"/>
    </row>
    <row r="73" spans="1:6" x14ac:dyDescent="0.2">
      <c r="A73" s="32"/>
      <c r="B73" s="33" t="s">
        <v>239</v>
      </c>
      <c r="C73" s="37" t="s">
        <v>186</v>
      </c>
      <c r="D73" s="37" t="s">
        <v>240</v>
      </c>
      <c r="E73" s="37" t="s">
        <v>241</v>
      </c>
      <c r="F73" s="32"/>
    </row>
    <row r="74" spans="1:6" x14ac:dyDescent="0.2">
      <c r="A74" s="32"/>
      <c r="B74" s="33" t="s">
        <v>242</v>
      </c>
      <c r="C74" s="39" t="s">
        <v>188</v>
      </c>
      <c r="D74" s="37" t="s">
        <v>243</v>
      </c>
      <c r="E74" s="37" t="s">
        <v>244</v>
      </c>
      <c r="F74" s="32"/>
    </row>
    <row r="75" spans="1:6" x14ac:dyDescent="0.2">
      <c r="A75" s="32"/>
      <c r="B75" s="33" t="s">
        <v>245</v>
      </c>
      <c r="C75" s="39" t="s">
        <v>331</v>
      </c>
      <c r="D75" s="37" t="s">
        <v>332</v>
      </c>
      <c r="E75" s="37" t="s">
        <v>246</v>
      </c>
      <c r="F75" s="32"/>
    </row>
    <row r="76" spans="1:6" x14ac:dyDescent="0.2">
      <c r="A76" s="32"/>
      <c r="B76" s="33" t="s">
        <v>247</v>
      </c>
      <c r="C76" s="39" t="s">
        <v>248</v>
      </c>
      <c r="D76" s="37" t="s">
        <v>249</v>
      </c>
      <c r="E76" s="37" t="s">
        <v>250</v>
      </c>
      <c r="F76" s="32"/>
    </row>
    <row r="77" spans="1:6" x14ac:dyDescent="0.2">
      <c r="A77" s="32"/>
      <c r="B77" s="33" t="s">
        <v>251</v>
      </c>
      <c r="C77" s="39" t="s">
        <v>252</v>
      </c>
      <c r="D77" s="37" t="s">
        <v>253</v>
      </c>
      <c r="E77" s="37" t="s">
        <v>254</v>
      </c>
      <c r="F77" s="32"/>
    </row>
    <row r="78" spans="1:6" x14ac:dyDescent="0.2">
      <c r="A78" s="32"/>
      <c r="B78" s="33" t="s">
        <v>255</v>
      </c>
      <c r="C78" s="39" t="s">
        <v>189</v>
      </c>
      <c r="D78" s="37" t="s">
        <v>256</v>
      </c>
      <c r="E78" s="37" t="s">
        <v>257</v>
      </c>
      <c r="F78" s="32"/>
    </row>
    <row r="79" spans="1:6" x14ac:dyDescent="0.2">
      <c r="A79" s="32"/>
      <c r="B79" s="33" t="s">
        <v>258</v>
      </c>
      <c r="C79" s="39" t="s">
        <v>191</v>
      </c>
      <c r="D79" s="37" t="s">
        <v>259</v>
      </c>
      <c r="E79" s="37" t="s">
        <v>260</v>
      </c>
      <c r="F79" s="32"/>
    </row>
    <row r="80" spans="1:6" x14ac:dyDescent="0.2">
      <c r="A80" s="32"/>
      <c r="B80" s="33" t="s">
        <v>261</v>
      </c>
      <c r="C80" s="39" t="s">
        <v>192</v>
      </c>
      <c r="D80" s="37" t="s">
        <v>262</v>
      </c>
      <c r="E80" s="37" t="s">
        <v>263</v>
      </c>
      <c r="F80" s="32"/>
    </row>
    <row r="81" spans="1:6" x14ac:dyDescent="0.2">
      <c r="A81" s="32"/>
      <c r="B81" s="33" t="s">
        <v>264</v>
      </c>
      <c r="C81" s="39" t="s">
        <v>193</v>
      </c>
      <c r="D81" s="37" t="s">
        <v>265</v>
      </c>
      <c r="E81" s="37" t="s">
        <v>266</v>
      </c>
      <c r="F81" s="32"/>
    </row>
    <row r="82" spans="1:6" x14ac:dyDescent="0.2">
      <c r="A82" s="32"/>
      <c r="B82" s="33" t="s">
        <v>267</v>
      </c>
      <c r="C82" s="39" t="s">
        <v>194</v>
      </c>
      <c r="D82" s="37" t="s">
        <v>268</v>
      </c>
      <c r="E82" s="37" t="s">
        <v>269</v>
      </c>
      <c r="F82" s="32"/>
    </row>
    <row r="83" spans="1:6" x14ac:dyDescent="0.2">
      <c r="A83" s="32"/>
      <c r="B83" s="33" t="s">
        <v>270</v>
      </c>
      <c r="C83" s="39" t="s">
        <v>195</v>
      </c>
      <c r="D83" s="37" t="s">
        <v>271</v>
      </c>
      <c r="E83" s="37" t="s">
        <v>272</v>
      </c>
      <c r="F83" s="32"/>
    </row>
    <row r="84" spans="1:6" x14ac:dyDescent="0.2">
      <c r="A84" s="32"/>
      <c r="B84" s="33" t="s">
        <v>273</v>
      </c>
      <c r="C84" s="39" t="s">
        <v>197</v>
      </c>
      <c r="D84" s="37" t="s">
        <v>274</v>
      </c>
      <c r="E84" s="37" t="s">
        <v>275</v>
      </c>
      <c r="F84" s="32"/>
    </row>
    <row r="85" spans="1:6" x14ac:dyDescent="0.2">
      <c r="A85" s="32"/>
      <c r="B85" s="33" t="s">
        <v>276</v>
      </c>
      <c r="C85" s="39" t="s">
        <v>198</v>
      </c>
      <c r="D85" s="37" t="s">
        <v>277</v>
      </c>
      <c r="E85" s="37" t="s">
        <v>278</v>
      </c>
      <c r="F85" s="32"/>
    </row>
    <row r="86" spans="1:6" x14ac:dyDescent="0.2">
      <c r="A86" s="32"/>
      <c r="B86" s="33" t="s">
        <v>279</v>
      </c>
      <c r="C86" s="39" t="s">
        <v>199</v>
      </c>
      <c r="D86" s="37" t="s">
        <v>280</v>
      </c>
      <c r="E86" s="37" t="s">
        <v>281</v>
      </c>
      <c r="F86" s="32"/>
    </row>
    <row r="87" spans="1:6" x14ac:dyDescent="0.2">
      <c r="A87" s="32"/>
      <c r="B87" s="33" t="s">
        <v>282</v>
      </c>
      <c r="C87" s="39" t="s">
        <v>200</v>
      </c>
      <c r="D87" s="37" t="s">
        <v>283</v>
      </c>
      <c r="E87" s="37" t="s">
        <v>284</v>
      </c>
      <c r="F87" s="32"/>
    </row>
    <row r="88" spans="1:6" x14ac:dyDescent="0.2">
      <c r="A88" s="32"/>
      <c r="B88" s="33" t="s">
        <v>285</v>
      </c>
      <c r="C88" s="39" t="s">
        <v>201</v>
      </c>
      <c r="D88" s="37" t="s">
        <v>286</v>
      </c>
      <c r="E88" s="37" t="s">
        <v>287</v>
      </c>
      <c r="F88" s="32"/>
    </row>
    <row r="89" spans="1:6" x14ac:dyDescent="0.2">
      <c r="A89" s="32"/>
      <c r="B89" s="33" t="s">
        <v>288</v>
      </c>
      <c r="C89" s="39" t="s">
        <v>202</v>
      </c>
      <c r="D89" s="37" t="s">
        <v>289</v>
      </c>
      <c r="E89" s="37" t="s">
        <v>290</v>
      </c>
      <c r="F89" s="32"/>
    </row>
    <row r="90" spans="1:6" x14ac:dyDescent="0.2">
      <c r="A90" s="32"/>
      <c r="B90" s="33" t="s">
        <v>291</v>
      </c>
      <c r="C90" s="39" t="s">
        <v>203</v>
      </c>
      <c r="D90" s="37" t="s">
        <v>292</v>
      </c>
      <c r="E90" s="37" t="s">
        <v>293</v>
      </c>
      <c r="F90" s="32"/>
    </row>
    <row r="91" spans="1:6" x14ac:dyDescent="0.2">
      <c r="A91" s="32"/>
      <c r="B91" s="33" t="s">
        <v>294</v>
      </c>
      <c r="C91" s="39" t="s">
        <v>295</v>
      </c>
      <c r="D91" s="37" t="s">
        <v>296</v>
      </c>
      <c r="E91" s="37" t="s">
        <v>297</v>
      </c>
      <c r="F91" s="32"/>
    </row>
    <row r="92" spans="1:6" ht="25.5" x14ac:dyDescent="0.2">
      <c r="A92" s="32"/>
      <c r="B92" s="33" t="s">
        <v>298</v>
      </c>
      <c r="C92" s="39" t="s">
        <v>204</v>
      </c>
      <c r="D92" s="37" t="s">
        <v>299</v>
      </c>
      <c r="E92" s="37" t="s">
        <v>300</v>
      </c>
      <c r="F92" s="32"/>
    </row>
    <row r="93" spans="1:6" ht="38.25" x14ac:dyDescent="0.2">
      <c r="A93" s="32"/>
      <c r="B93" s="33" t="s">
        <v>301</v>
      </c>
      <c r="C93" s="39" t="s">
        <v>302</v>
      </c>
      <c r="D93" s="37" t="s">
        <v>303</v>
      </c>
      <c r="E93" s="37" t="s">
        <v>304</v>
      </c>
      <c r="F93" s="32"/>
    </row>
    <row r="94" spans="1:6" ht="25.5" x14ac:dyDescent="0.2">
      <c r="A94" s="32"/>
      <c r="B94" s="33" t="s">
        <v>305</v>
      </c>
      <c r="C94" s="39" t="s">
        <v>205</v>
      </c>
      <c r="D94" s="37" t="s">
        <v>306</v>
      </c>
      <c r="E94" s="37" t="s">
        <v>307</v>
      </c>
      <c r="F94" s="32"/>
    </row>
    <row r="95" spans="1:6" x14ac:dyDescent="0.2">
      <c r="A95" s="32"/>
      <c r="B95" s="33" t="s">
        <v>308</v>
      </c>
      <c r="C95" s="39" t="s">
        <v>309</v>
      </c>
      <c r="D95" s="37" t="s">
        <v>310</v>
      </c>
      <c r="E95" s="37" t="s">
        <v>311</v>
      </c>
      <c r="F95" s="32"/>
    </row>
    <row r="96" spans="1:6" x14ac:dyDescent="0.2">
      <c r="A96" s="32"/>
      <c r="B96" s="33" t="s">
        <v>312</v>
      </c>
      <c r="C96" s="39" t="s">
        <v>207</v>
      </c>
      <c r="D96" s="37" t="s">
        <v>313</v>
      </c>
      <c r="E96" s="37" t="s">
        <v>314</v>
      </c>
      <c r="F96" s="32"/>
    </row>
    <row r="97" spans="1:6" x14ac:dyDescent="0.2">
      <c r="A97" s="32"/>
      <c r="B97" s="33" t="s">
        <v>315</v>
      </c>
      <c r="C97" s="39" t="s">
        <v>208</v>
      </c>
      <c r="D97" s="37" t="s">
        <v>316</v>
      </c>
      <c r="E97" s="37" t="s">
        <v>317</v>
      </c>
      <c r="F97" s="32"/>
    </row>
    <row r="98" spans="1:6" x14ac:dyDescent="0.2">
      <c r="A98" s="32"/>
      <c r="C98" s="39"/>
      <c r="F98" s="32"/>
    </row>
    <row r="99" spans="1:6" x14ac:dyDescent="0.2">
      <c r="A99" s="32"/>
      <c r="C99" s="33"/>
      <c r="F99" s="32"/>
    </row>
    <row r="100" spans="1:6" x14ac:dyDescent="0.2">
      <c r="A100" s="32"/>
      <c r="B100" s="32"/>
      <c r="C100" s="38"/>
      <c r="D100" s="38"/>
      <c r="E100" s="32"/>
      <c r="F100" s="32"/>
    </row>
    <row r="101" spans="1:6" x14ac:dyDescent="0.2">
      <c r="A101" s="32" t="s">
        <v>210</v>
      </c>
      <c r="B101" s="41" t="s">
        <v>319</v>
      </c>
      <c r="C101" s="42" t="s">
        <v>337</v>
      </c>
      <c r="D101" s="42" t="s">
        <v>338</v>
      </c>
      <c r="E101" s="42" t="s">
        <v>339</v>
      </c>
      <c r="F101" s="32"/>
    </row>
    <row r="102" spans="1:6" x14ac:dyDescent="0.2">
      <c r="A102" s="32"/>
      <c r="B102" s="32"/>
      <c r="C102" s="38"/>
      <c r="D102" s="38"/>
      <c r="E102" s="32"/>
      <c r="F102" s="32"/>
    </row>
    <row r="103" spans="1:6" x14ac:dyDescent="0.2">
      <c r="C103" s="33"/>
      <c r="D103" s="33"/>
      <c r="E103" s="3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1002</Benutzerdefinierte_x0020_ID>
    <Titel_IT xmlns="e8a48d95-b6dc-46ea-8dee-11ddfc24d8d8">Condizione lavorativa nei Grigioni e in Svizzera, 2024</Titel_IT>
    <Titel_RM xmlns="e8a48d95-b6dc-46ea-8dee-11ddfc24d8d8">Status dal martgà da lavur grischun e svizzer, 2024</Titel_RM>
    <Titel_DE xmlns="e8a48d95-b6dc-46ea-8dee-11ddfc24d8d8">Arbeitsmarktstatus Graubünden und Schweiz, 2024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80A1D6-FA2D-4B07-9670-2489A85FB845}"/>
</file>

<file path=customXml/itemProps2.xml><?xml version="1.0" encoding="utf-8"?>
<ds:datastoreItem xmlns:ds="http://schemas.openxmlformats.org/officeDocument/2006/customXml" ds:itemID="{AE51B6D9-6FDE-41BE-8974-6B82FC877DF7}"/>
</file>

<file path=customXml/itemProps3.xml><?xml version="1.0" encoding="utf-8"?>
<ds:datastoreItem xmlns:ds="http://schemas.openxmlformats.org/officeDocument/2006/customXml" ds:itemID="{DD3E1B94-8C81-4FC8-900F-E08FCFFEFA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Schweiz</vt:lpstr>
      <vt:lpstr>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Arbeitsmarktstatus Graubünden und Schweiz</dc:title>
  <dc:subject/>
  <dc:creator>Luzius.Stricker@awt.gr.ch</dc:creator>
  <cp:keywords/>
  <dc:description/>
  <cp:lastModifiedBy>Monstein Urs (AWT GR)</cp:lastModifiedBy>
  <cp:revision/>
  <dcterms:created xsi:type="dcterms:W3CDTF">2017-05-04T09:10:20Z</dcterms:created>
  <dcterms:modified xsi:type="dcterms:W3CDTF">2026-01-28T08:52:30Z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2026-01-20T08:16:54Z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9684b3c1-f271-47c5-92da-a0c0861771a8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